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ΣΥΛΛΟΓΟΣ\EREYNA\EREYNA 2021\"/>
    </mc:Choice>
  </mc:AlternateContent>
  <xr:revisionPtr revIDLastSave="0" documentId="8_{B2FD4E46-E3CB-4B38-9078-3E441B1E855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NEST DATA " sheetId="1" r:id="rId1"/>
    <sheet name="FALSE CRAWL DATA" sheetId="2" r:id="rId2"/>
    <sheet name="INVESTIGATION DATA" sheetId="3" r:id="rId3"/>
    <sheet name="ΚΑΤΑΝΟΜΗ ΦΩΛΙΩΝ- REGIONAL NEST" sheetId="4" r:id="rId4"/>
    <sheet name="ΕΠΩΑΣΘΕΝΤΑ-ΙNCUBATED " sheetId="5" r:id="rId5"/>
    <sheet name="ΕΚΚΟΛΑΨΗΣ-HATCHING" sheetId="6" r:id="rId6"/>
    <sheet name="ΜΗ ΕΚΚΟΛΑΦΘΕΝΤΑ-UNHATCHED" sheetId="7" r:id="rId7"/>
    <sheet name="ΝΕΚΡΑ ΣΤΗ ΦΩΛΙΑ -DEAD IN NEST" sheetId="8" r:id="rId8"/>
    <sheet name=" ΑΥΓΑ ΑΝΑ ΦΩΛΙΑ-EGGS PER NESTS" sheetId="9" r:id="rId9"/>
    <sheet name="ΑΝΑΔΥΘΕΝΤΑ-EMERGENCED" sheetId="10" r:id="rId10"/>
    <sheet name="ΠΕΡΙΕΧΟΜ ΦΩΛΙΑΣ-NEST CONTENT  " sheetId="11" r:id="rId11"/>
    <sheet name="RELOCATED N" sheetId="12" r:id="rId12"/>
    <sheet name="FALSE CRAWLS PEAKS " sheetId="13" r:id="rId13"/>
    <sheet name="NEST &amp;FALSE-C EVENT " sheetId="14" r:id="rId14"/>
    <sheet name="ΧΩΡΙΚΗ ΚΑΤΑΝΟΜΗ DISTRIBUTION 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9" roundtripDataSignature="AMtx7mjk0RRU3PAeD0N7Qe9KtJwJ1cH5TQ=="/>
    </ext>
  </extLst>
</workbook>
</file>

<file path=xl/calcChain.xml><?xml version="1.0" encoding="utf-8"?>
<calcChain xmlns="http://schemas.openxmlformats.org/spreadsheetml/2006/main">
  <c r="B15" i="15" l="1"/>
  <c r="A15" i="15"/>
  <c r="B13" i="15" s="1"/>
  <c r="B10" i="15"/>
  <c r="A10" i="15"/>
  <c r="B5" i="15"/>
  <c r="A5" i="15"/>
  <c r="B3" i="15"/>
  <c r="B13" i="14"/>
  <c r="A13" i="14"/>
  <c r="B12" i="14"/>
  <c r="A12" i="14"/>
  <c r="B11" i="14"/>
  <c r="A11" i="14"/>
  <c r="B10" i="14"/>
  <c r="A10" i="14"/>
  <c r="B9" i="14"/>
  <c r="A9" i="14"/>
  <c r="B8" i="14"/>
  <c r="A8" i="14"/>
  <c r="B7" i="14"/>
  <c r="A7" i="14"/>
  <c r="B6" i="14"/>
  <c r="A6" i="14"/>
  <c r="B5" i="14"/>
  <c r="A5" i="14"/>
  <c r="B4" i="14"/>
  <c r="A4" i="14"/>
  <c r="B3" i="14"/>
  <c r="A3" i="14"/>
  <c r="B2" i="14"/>
  <c r="A2" i="14"/>
  <c r="A13" i="13"/>
  <c r="A12" i="13"/>
  <c r="A11" i="13"/>
  <c r="A10" i="13"/>
  <c r="A9" i="13"/>
  <c r="A8" i="13"/>
  <c r="A7" i="13"/>
  <c r="A6" i="13"/>
  <c r="A5" i="13"/>
  <c r="A4" i="13"/>
  <c r="A3" i="13"/>
  <c r="A2" i="13"/>
  <c r="C61" i="11"/>
  <c r="B40" i="11"/>
  <c r="B38" i="11"/>
  <c r="C40" i="11" s="1"/>
  <c r="B21" i="11"/>
  <c r="C24" i="11" s="1"/>
  <c r="C7" i="11"/>
  <c r="B6" i="11"/>
  <c r="B62" i="11" s="1"/>
  <c r="C62" i="11" s="1"/>
  <c r="C5" i="11"/>
  <c r="B4" i="11"/>
  <c r="C4" i="11" s="1"/>
  <c r="B2" i="11"/>
  <c r="B61" i="11" s="1"/>
  <c r="C195" i="10"/>
  <c r="B195" i="10"/>
  <c r="A195" i="10"/>
  <c r="C194" i="10"/>
  <c r="B194" i="10"/>
  <c r="A194" i="10"/>
  <c r="C193" i="10"/>
  <c r="B193" i="10"/>
  <c r="A193" i="10"/>
  <c r="C192" i="10"/>
  <c r="B192" i="10"/>
  <c r="A192" i="10"/>
  <c r="C191" i="10"/>
  <c r="B191" i="10"/>
  <c r="A191" i="10"/>
  <c r="C190" i="10"/>
  <c r="B190" i="10"/>
  <c r="A190" i="10"/>
  <c r="C189" i="10"/>
  <c r="B189" i="10"/>
  <c r="A189" i="10"/>
  <c r="C188" i="10"/>
  <c r="B188" i="10"/>
  <c r="A188" i="10"/>
  <c r="C187" i="10"/>
  <c r="B187" i="10"/>
  <c r="A187" i="10"/>
  <c r="C186" i="10"/>
  <c r="B186" i="10"/>
  <c r="A186" i="10"/>
  <c r="C185" i="10"/>
  <c r="B185" i="10"/>
  <c r="A185" i="10"/>
  <c r="C184" i="10"/>
  <c r="B184" i="10"/>
  <c r="A184" i="10"/>
  <c r="C183" i="10"/>
  <c r="B183" i="10"/>
  <c r="A183" i="10"/>
  <c r="C182" i="10"/>
  <c r="B182" i="10"/>
  <c r="A182" i="10"/>
  <c r="C181" i="10"/>
  <c r="B181" i="10"/>
  <c r="A181" i="10"/>
  <c r="C180" i="10"/>
  <c r="B180" i="10"/>
  <c r="A180" i="10"/>
  <c r="C179" i="10"/>
  <c r="B179" i="10"/>
  <c r="A179" i="10"/>
  <c r="C178" i="10"/>
  <c r="B178" i="10"/>
  <c r="A178" i="10"/>
  <c r="C177" i="10"/>
  <c r="B177" i="10"/>
  <c r="A177" i="10"/>
  <c r="C176" i="10"/>
  <c r="B176" i="10"/>
  <c r="A176" i="10"/>
  <c r="C175" i="10"/>
  <c r="B175" i="10"/>
  <c r="A175" i="10"/>
  <c r="C174" i="10"/>
  <c r="B174" i="10"/>
  <c r="A174" i="10"/>
  <c r="C173" i="10"/>
  <c r="B173" i="10"/>
  <c r="A173" i="10"/>
  <c r="C172" i="10"/>
  <c r="B172" i="10"/>
  <c r="A172" i="10"/>
  <c r="C171" i="10"/>
  <c r="B171" i="10"/>
  <c r="A171" i="10"/>
  <c r="C170" i="10"/>
  <c r="B170" i="10"/>
  <c r="A170" i="10"/>
  <c r="C169" i="10"/>
  <c r="B169" i="10"/>
  <c r="A169" i="10"/>
  <c r="C168" i="10"/>
  <c r="B168" i="10"/>
  <c r="A168" i="10"/>
  <c r="C167" i="10"/>
  <c r="B167" i="10"/>
  <c r="A167" i="10"/>
  <c r="C166" i="10"/>
  <c r="B166" i="10"/>
  <c r="A166" i="10"/>
  <c r="C165" i="10"/>
  <c r="B165" i="10"/>
  <c r="A165" i="10"/>
  <c r="C164" i="10"/>
  <c r="B164" i="10"/>
  <c r="A164" i="10"/>
  <c r="C163" i="10"/>
  <c r="B163" i="10"/>
  <c r="A163" i="10"/>
  <c r="C162" i="10"/>
  <c r="B162" i="10"/>
  <c r="A162" i="10"/>
  <c r="C161" i="10"/>
  <c r="B161" i="10"/>
  <c r="A161" i="10"/>
  <c r="C160" i="10"/>
  <c r="B160" i="10"/>
  <c r="A160" i="10"/>
  <c r="C159" i="10"/>
  <c r="B159" i="10"/>
  <c r="A159" i="10"/>
  <c r="C158" i="10"/>
  <c r="B158" i="10"/>
  <c r="A158" i="10"/>
  <c r="C157" i="10"/>
  <c r="B157" i="10"/>
  <c r="A157" i="10"/>
  <c r="C156" i="10"/>
  <c r="B156" i="10"/>
  <c r="A156" i="10"/>
  <c r="C155" i="10"/>
  <c r="B155" i="10"/>
  <c r="A155" i="10"/>
  <c r="C154" i="10"/>
  <c r="B154" i="10"/>
  <c r="A154" i="10"/>
  <c r="C153" i="10"/>
  <c r="B153" i="10"/>
  <c r="A153" i="10"/>
  <c r="C152" i="10"/>
  <c r="B152" i="10"/>
  <c r="A152" i="10"/>
  <c r="C151" i="10"/>
  <c r="B151" i="10"/>
  <c r="A151" i="10"/>
  <c r="C150" i="10"/>
  <c r="B150" i="10"/>
  <c r="A150" i="10"/>
  <c r="C149" i="10"/>
  <c r="B149" i="10"/>
  <c r="A149" i="10"/>
  <c r="C148" i="10"/>
  <c r="B148" i="10"/>
  <c r="A148" i="10"/>
  <c r="C147" i="10"/>
  <c r="B147" i="10"/>
  <c r="A147" i="10"/>
  <c r="C146" i="10"/>
  <c r="B146" i="10"/>
  <c r="A146" i="10"/>
  <c r="C145" i="10"/>
  <c r="B145" i="10"/>
  <c r="A145" i="10"/>
  <c r="C144" i="10"/>
  <c r="B144" i="10"/>
  <c r="A144" i="10"/>
  <c r="C143" i="10"/>
  <c r="B143" i="10"/>
  <c r="A143" i="10"/>
  <c r="C142" i="10"/>
  <c r="B142" i="10"/>
  <c r="A142" i="10"/>
  <c r="C141" i="10"/>
  <c r="B141" i="10"/>
  <c r="A141" i="10"/>
  <c r="C140" i="10"/>
  <c r="B140" i="10"/>
  <c r="A140" i="10"/>
  <c r="C139" i="10"/>
  <c r="B139" i="10"/>
  <c r="A139" i="10"/>
  <c r="C138" i="10"/>
  <c r="B138" i="10"/>
  <c r="A138" i="10"/>
  <c r="C137" i="10"/>
  <c r="B137" i="10"/>
  <c r="A137" i="10"/>
  <c r="C136" i="10"/>
  <c r="B136" i="10"/>
  <c r="A136" i="10"/>
  <c r="C135" i="10"/>
  <c r="B135" i="10"/>
  <c r="A135" i="10"/>
  <c r="C134" i="10"/>
  <c r="B134" i="10"/>
  <c r="A134" i="10"/>
  <c r="C133" i="10"/>
  <c r="B133" i="10"/>
  <c r="A133" i="10"/>
  <c r="C132" i="10"/>
  <c r="B132" i="10"/>
  <c r="A132" i="10"/>
  <c r="C131" i="10"/>
  <c r="B131" i="10"/>
  <c r="A131" i="10"/>
  <c r="C130" i="10"/>
  <c r="B130" i="10"/>
  <c r="A130" i="10"/>
  <c r="C129" i="10"/>
  <c r="B129" i="10"/>
  <c r="A129" i="10"/>
  <c r="C128" i="10"/>
  <c r="B128" i="10"/>
  <c r="A128" i="10"/>
  <c r="C127" i="10"/>
  <c r="B127" i="10"/>
  <c r="A127" i="10"/>
  <c r="C126" i="10"/>
  <c r="B126" i="10"/>
  <c r="A126" i="10"/>
  <c r="C125" i="10"/>
  <c r="B125" i="10"/>
  <c r="A125" i="10"/>
  <c r="C124" i="10"/>
  <c r="B124" i="10"/>
  <c r="A124" i="10"/>
  <c r="C123" i="10"/>
  <c r="B123" i="10"/>
  <c r="A123" i="10"/>
  <c r="C122" i="10"/>
  <c r="B122" i="10"/>
  <c r="A122" i="10"/>
  <c r="C121" i="10"/>
  <c r="B121" i="10"/>
  <c r="A121" i="10"/>
  <c r="C120" i="10"/>
  <c r="B120" i="10"/>
  <c r="A120" i="10"/>
  <c r="C119" i="10"/>
  <c r="B119" i="10"/>
  <c r="A119" i="10"/>
  <c r="C118" i="10"/>
  <c r="B118" i="10"/>
  <c r="A118" i="10"/>
  <c r="C117" i="10"/>
  <c r="B117" i="10"/>
  <c r="A117" i="10"/>
  <c r="C116" i="10"/>
  <c r="B116" i="10"/>
  <c r="A116" i="10"/>
  <c r="C115" i="10"/>
  <c r="B115" i="10"/>
  <c r="A115" i="10"/>
  <c r="C114" i="10"/>
  <c r="B114" i="10"/>
  <c r="A114" i="10"/>
  <c r="C113" i="10"/>
  <c r="B113" i="10"/>
  <c r="A113" i="10"/>
  <c r="C112" i="10"/>
  <c r="B112" i="10"/>
  <c r="A112" i="10"/>
  <c r="C111" i="10"/>
  <c r="B111" i="10"/>
  <c r="A111" i="10"/>
  <c r="C110" i="10"/>
  <c r="B110" i="10"/>
  <c r="A110" i="10"/>
  <c r="C109" i="10"/>
  <c r="B109" i="10"/>
  <c r="A109" i="10"/>
  <c r="C108" i="10"/>
  <c r="B108" i="10"/>
  <c r="A108" i="10"/>
  <c r="C107" i="10"/>
  <c r="B107" i="10"/>
  <c r="A107" i="10"/>
  <c r="C106" i="10"/>
  <c r="B106" i="10"/>
  <c r="A106" i="10"/>
  <c r="C105" i="10"/>
  <c r="B105" i="10"/>
  <c r="A105" i="10"/>
  <c r="C104" i="10"/>
  <c r="B104" i="10"/>
  <c r="A104" i="10"/>
  <c r="C103" i="10"/>
  <c r="B103" i="10"/>
  <c r="A103" i="10"/>
  <c r="C102" i="10"/>
  <c r="B102" i="10"/>
  <c r="A102" i="10"/>
  <c r="C101" i="10"/>
  <c r="B101" i="10"/>
  <c r="A101" i="10"/>
  <c r="C100" i="10"/>
  <c r="B100" i="10"/>
  <c r="A100" i="10"/>
  <c r="C99" i="10"/>
  <c r="B99" i="10"/>
  <c r="A99" i="10"/>
  <c r="C98" i="10"/>
  <c r="B98" i="10"/>
  <c r="A98" i="10"/>
  <c r="C97" i="10"/>
  <c r="B97" i="10"/>
  <c r="A97" i="10"/>
  <c r="C96" i="10"/>
  <c r="B96" i="10"/>
  <c r="A96" i="10"/>
  <c r="C95" i="10"/>
  <c r="B95" i="10"/>
  <c r="A95" i="10"/>
  <c r="C94" i="10"/>
  <c r="B94" i="10"/>
  <c r="A94" i="10"/>
  <c r="C93" i="10"/>
  <c r="B93" i="10"/>
  <c r="A93" i="10"/>
  <c r="C92" i="10"/>
  <c r="B92" i="10"/>
  <c r="A92" i="10"/>
  <c r="C91" i="10"/>
  <c r="B91" i="10"/>
  <c r="A91" i="10"/>
  <c r="C90" i="10"/>
  <c r="B90" i="10"/>
  <c r="A90" i="10"/>
  <c r="C89" i="10"/>
  <c r="B89" i="10"/>
  <c r="A89" i="10"/>
  <c r="C88" i="10"/>
  <c r="B88" i="10"/>
  <c r="A88" i="10"/>
  <c r="C87" i="10"/>
  <c r="B87" i="10"/>
  <c r="A87" i="10"/>
  <c r="C86" i="10"/>
  <c r="B86" i="10"/>
  <c r="A86" i="10"/>
  <c r="C85" i="10"/>
  <c r="B85" i="10"/>
  <c r="A85" i="10"/>
  <c r="C84" i="10"/>
  <c r="B84" i="10"/>
  <c r="A84" i="10"/>
  <c r="C83" i="10"/>
  <c r="B83" i="10"/>
  <c r="A83" i="10"/>
  <c r="C82" i="10"/>
  <c r="B82" i="10"/>
  <c r="A82" i="10"/>
  <c r="C81" i="10"/>
  <c r="B81" i="10"/>
  <c r="A81" i="10"/>
  <c r="C80" i="10"/>
  <c r="B80" i="10"/>
  <c r="A80" i="10"/>
  <c r="C79" i="10"/>
  <c r="B79" i="10"/>
  <c r="A79" i="10"/>
  <c r="C78" i="10"/>
  <c r="B78" i="10"/>
  <c r="A78" i="10"/>
  <c r="C77" i="10"/>
  <c r="B77" i="10"/>
  <c r="A77" i="10"/>
  <c r="C76" i="10"/>
  <c r="B76" i="10"/>
  <c r="A76" i="10"/>
  <c r="C75" i="10"/>
  <c r="B75" i="10"/>
  <c r="A75" i="10"/>
  <c r="C74" i="10"/>
  <c r="B74" i="10"/>
  <c r="A74" i="10"/>
  <c r="C73" i="10"/>
  <c r="B73" i="10"/>
  <c r="A73" i="10"/>
  <c r="C72" i="10"/>
  <c r="B72" i="10"/>
  <c r="A72" i="10"/>
  <c r="C71" i="10"/>
  <c r="B71" i="10"/>
  <c r="A71" i="10"/>
  <c r="C70" i="10"/>
  <c r="B70" i="10"/>
  <c r="A70" i="10"/>
  <c r="C69" i="10"/>
  <c r="B69" i="10"/>
  <c r="A69" i="10"/>
  <c r="C68" i="10"/>
  <c r="B68" i="10"/>
  <c r="A68" i="10"/>
  <c r="C67" i="10"/>
  <c r="B67" i="10"/>
  <c r="A67" i="10"/>
  <c r="C66" i="10"/>
  <c r="B66" i="10"/>
  <c r="A66" i="10"/>
  <c r="C65" i="10"/>
  <c r="B65" i="10"/>
  <c r="A65" i="10"/>
  <c r="C64" i="10"/>
  <c r="B64" i="10"/>
  <c r="A64" i="10"/>
  <c r="C63" i="10"/>
  <c r="B63" i="10"/>
  <c r="A63" i="10"/>
  <c r="C62" i="10"/>
  <c r="B62" i="10"/>
  <c r="A62" i="10"/>
  <c r="C61" i="10"/>
  <c r="B61" i="10"/>
  <c r="A61" i="10"/>
  <c r="C60" i="10"/>
  <c r="B60" i="10"/>
  <c r="A60" i="10"/>
  <c r="C59" i="10"/>
  <c r="B59" i="10"/>
  <c r="A59" i="10"/>
  <c r="C58" i="10"/>
  <c r="B58" i="10"/>
  <c r="A58" i="10"/>
  <c r="C57" i="10"/>
  <c r="B57" i="10"/>
  <c r="A57" i="10"/>
  <c r="C56" i="10"/>
  <c r="B56" i="10"/>
  <c r="A56" i="10"/>
  <c r="C55" i="10"/>
  <c r="B55" i="10"/>
  <c r="A55" i="10"/>
  <c r="C54" i="10"/>
  <c r="B54" i="10"/>
  <c r="A54" i="10"/>
  <c r="C53" i="10"/>
  <c r="B53" i="10"/>
  <c r="A53" i="10"/>
  <c r="C52" i="10"/>
  <c r="B52" i="10"/>
  <c r="A52" i="10"/>
  <c r="C51" i="10"/>
  <c r="B51" i="10"/>
  <c r="A51" i="10"/>
  <c r="C50" i="10"/>
  <c r="B50" i="10"/>
  <c r="A50" i="10"/>
  <c r="C49" i="10"/>
  <c r="B49" i="10"/>
  <c r="A49" i="10"/>
  <c r="C48" i="10"/>
  <c r="B48" i="10"/>
  <c r="A48" i="10"/>
  <c r="C47" i="10"/>
  <c r="B47" i="10"/>
  <c r="A47" i="10"/>
  <c r="C46" i="10"/>
  <c r="B46" i="10"/>
  <c r="A46" i="10"/>
  <c r="C45" i="10"/>
  <c r="B45" i="10"/>
  <c r="A45" i="10"/>
  <c r="C44" i="10"/>
  <c r="B44" i="10"/>
  <c r="A44" i="10"/>
  <c r="C43" i="10"/>
  <c r="B43" i="10"/>
  <c r="A43" i="10"/>
  <c r="C42" i="10"/>
  <c r="B42" i="10"/>
  <c r="A42" i="10"/>
  <c r="C41" i="10"/>
  <c r="B41" i="10"/>
  <c r="A41" i="10"/>
  <c r="C40" i="10"/>
  <c r="B40" i="10"/>
  <c r="A40" i="10"/>
  <c r="C39" i="10"/>
  <c r="B39" i="10"/>
  <c r="A39" i="10"/>
  <c r="C38" i="10"/>
  <c r="B38" i="10"/>
  <c r="A38" i="10"/>
  <c r="C37" i="10"/>
  <c r="B37" i="10"/>
  <c r="A37" i="10"/>
  <c r="C36" i="10"/>
  <c r="B36" i="10"/>
  <c r="A36" i="10"/>
  <c r="C35" i="10"/>
  <c r="B35" i="10"/>
  <c r="A35" i="10"/>
  <c r="C34" i="10"/>
  <c r="B34" i="10"/>
  <c r="A34" i="10"/>
  <c r="C33" i="10"/>
  <c r="B33" i="10"/>
  <c r="A33" i="10"/>
  <c r="C32" i="10"/>
  <c r="B32" i="10"/>
  <c r="A32" i="10"/>
  <c r="C31" i="10"/>
  <c r="B31" i="10"/>
  <c r="A31" i="10"/>
  <c r="C30" i="10"/>
  <c r="B30" i="10"/>
  <c r="A30" i="10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B19" i="10"/>
  <c r="A19" i="10"/>
  <c r="C18" i="10"/>
  <c r="B18" i="10"/>
  <c r="A18" i="10"/>
  <c r="C17" i="10"/>
  <c r="B17" i="10"/>
  <c r="A17" i="10"/>
  <c r="C16" i="10"/>
  <c r="B16" i="10"/>
  <c r="A16" i="10"/>
  <c r="C15" i="10"/>
  <c r="B15" i="10"/>
  <c r="A15" i="10"/>
  <c r="C14" i="10"/>
  <c r="B14" i="10"/>
  <c r="A14" i="10"/>
  <c r="C13" i="10"/>
  <c r="B13" i="10"/>
  <c r="A13" i="10"/>
  <c r="C12" i="10"/>
  <c r="B12" i="10"/>
  <c r="A12" i="10"/>
  <c r="C11" i="10"/>
  <c r="B11" i="10"/>
  <c r="A11" i="10"/>
  <c r="C10" i="10"/>
  <c r="B10" i="10"/>
  <c r="A10" i="10"/>
  <c r="C9" i="10"/>
  <c r="B9" i="10"/>
  <c r="A9" i="10"/>
  <c r="C8" i="10"/>
  <c r="B8" i="10"/>
  <c r="A8" i="10"/>
  <c r="C7" i="10"/>
  <c r="B7" i="10"/>
  <c r="A7" i="10"/>
  <c r="C6" i="10"/>
  <c r="B6" i="10"/>
  <c r="A6" i="10"/>
  <c r="C5" i="10"/>
  <c r="B5" i="10"/>
  <c r="A5" i="10"/>
  <c r="C4" i="10"/>
  <c r="B4" i="10"/>
  <c r="A4" i="10"/>
  <c r="C3" i="10"/>
  <c r="B3" i="10"/>
  <c r="A3" i="10"/>
  <c r="C2" i="10"/>
  <c r="B2" i="10"/>
  <c r="A2" i="10"/>
  <c r="B195" i="9"/>
  <c r="A195" i="9"/>
  <c r="B194" i="9"/>
  <c r="A194" i="9"/>
  <c r="B193" i="9"/>
  <c r="A193" i="9"/>
  <c r="B192" i="9"/>
  <c r="A192" i="9"/>
  <c r="B191" i="9"/>
  <c r="A191" i="9"/>
  <c r="B190" i="9"/>
  <c r="A190" i="9"/>
  <c r="B189" i="9"/>
  <c r="A189" i="9"/>
  <c r="B188" i="9"/>
  <c r="A188" i="9"/>
  <c r="B187" i="9"/>
  <c r="A187" i="9"/>
  <c r="B186" i="9"/>
  <c r="A186" i="9"/>
  <c r="B185" i="9"/>
  <c r="A185" i="9"/>
  <c r="B184" i="9"/>
  <c r="A184" i="9"/>
  <c r="B183" i="9"/>
  <c r="A183" i="9"/>
  <c r="B182" i="9"/>
  <c r="A182" i="9"/>
  <c r="B181" i="9"/>
  <c r="A181" i="9"/>
  <c r="B180" i="9"/>
  <c r="A180" i="9"/>
  <c r="B179" i="9"/>
  <c r="A179" i="9"/>
  <c r="B178" i="9"/>
  <c r="A178" i="9"/>
  <c r="B177" i="9"/>
  <c r="A177" i="9"/>
  <c r="B176" i="9"/>
  <c r="A176" i="9"/>
  <c r="B175" i="9"/>
  <c r="A175" i="9"/>
  <c r="B174" i="9"/>
  <c r="A174" i="9"/>
  <c r="B173" i="9"/>
  <c r="A173" i="9"/>
  <c r="B172" i="9"/>
  <c r="A172" i="9"/>
  <c r="B171" i="9"/>
  <c r="A171" i="9"/>
  <c r="B170" i="9"/>
  <c r="A170" i="9"/>
  <c r="B169" i="9"/>
  <c r="A169" i="9"/>
  <c r="B168" i="9"/>
  <c r="A168" i="9"/>
  <c r="B167" i="9"/>
  <c r="A167" i="9"/>
  <c r="B166" i="9"/>
  <c r="A166" i="9"/>
  <c r="B165" i="9"/>
  <c r="A165" i="9"/>
  <c r="B164" i="9"/>
  <c r="A164" i="9"/>
  <c r="B163" i="9"/>
  <c r="A163" i="9"/>
  <c r="B162" i="9"/>
  <c r="A162" i="9"/>
  <c r="B161" i="9"/>
  <c r="A161" i="9"/>
  <c r="B160" i="9"/>
  <c r="A160" i="9"/>
  <c r="B159" i="9"/>
  <c r="A159" i="9"/>
  <c r="B158" i="9"/>
  <c r="A158" i="9"/>
  <c r="B157" i="9"/>
  <c r="A157" i="9"/>
  <c r="B156" i="9"/>
  <c r="A156" i="9"/>
  <c r="B155" i="9"/>
  <c r="A155" i="9"/>
  <c r="B154" i="9"/>
  <c r="A154" i="9"/>
  <c r="B153" i="9"/>
  <c r="A153" i="9"/>
  <c r="B152" i="9"/>
  <c r="A152" i="9"/>
  <c r="B151" i="9"/>
  <c r="A151" i="9"/>
  <c r="B150" i="9"/>
  <c r="A150" i="9"/>
  <c r="B149" i="9"/>
  <c r="A149" i="9"/>
  <c r="B148" i="9"/>
  <c r="A148" i="9"/>
  <c r="B147" i="9"/>
  <c r="A147" i="9"/>
  <c r="B146" i="9"/>
  <c r="A146" i="9"/>
  <c r="B145" i="9"/>
  <c r="A145" i="9"/>
  <c r="B144" i="9"/>
  <c r="A144" i="9"/>
  <c r="B143" i="9"/>
  <c r="A143" i="9"/>
  <c r="B142" i="9"/>
  <c r="A142" i="9"/>
  <c r="B141" i="9"/>
  <c r="A141" i="9"/>
  <c r="B140" i="9"/>
  <c r="A140" i="9"/>
  <c r="B139" i="9"/>
  <c r="A139" i="9"/>
  <c r="B138" i="9"/>
  <c r="A138" i="9"/>
  <c r="B137" i="9"/>
  <c r="A137" i="9"/>
  <c r="B136" i="9"/>
  <c r="A136" i="9"/>
  <c r="B135" i="9"/>
  <c r="A135" i="9"/>
  <c r="B134" i="9"/>
  <c r="A134" i="9"/>
  <c r="B133" i="9"/>
  <c r="A133" i="9"/>
  <c r="B132" i="9"/>
  <c r="A132" i="9"/>
  <c r="B131" i="9"/>
  <c r="A131" i="9"/>
  <c r="B130" i="9"/>
  <c r="A130" i="9"/>
  <c r="B129" i="9"/>
  <c r="A129" i="9"/>
  <c r="B128" i="9"/>
  <c r="A128" i="9"/>
  <c r="B127" i="9"/>
  <c r="A127" i="9"/>
  <c r="B126" i="9"/>
  <c r="A126" i="9"/>
  <c r="B125" i="9"/>
  <c r="A125" i="9"/>
  <c r="B124" i="9"/>
  <c r="A124" i="9"/>
  <c r="B123" i="9"/>
  <c r="A123" i="9"/>
  <c r="B122" i="9"/>
  <c r="A122" i="9"/>
  <c r="B121" i="9"/>
  <c r="A121" i="9"/>
  <c r="B120" i="9"/>
  <c r="A120" i="9"/>
  <c r="B119" i="9"/>
  <c r="A119" i="9"/>
  <c r="B118" i="9"/>
  <c r="A118" i="9"/>
  <c r="B117" i="9"/>
  <c r="A117" i="9"/>
  <c r="B116" i="9"/>
  <c r="A116" i="9"/>
  <c r="B115" i="9"/>
  <c r="A115" i="9"/>
  <c r="B114" i="9"/>
  <c r="A114" i="9"/>
  <c r="B113" i="9"/>
  <c r="A113" i="9"/>
  <c r="B112" i="9"/>
  <c r="A112" i="9"/>
  <c r="B111" i="9"/>
  <c r="A111" i="9"/>
  <c r="B110" i="9"/>
  <c r="A110" i="9"/>
  <c r="B109" i="9"/>
  <c r="A109" i="9"/>
  <c r="B108" i="9"/>
  <c r="A108" i="9"/>
  <c r="B107" i="9"/>
  <c r="A107" i="9"/>
  <c r="B106" i="9"/>
  <c r="A106" i="9"/>
  <c r="B105" i="9"/>
  <c r="A105" i="9"/>
  <c r="B104" i="9"/>
  <c r="A104" i="9"/>
  <c r="B103" i="9"/>
  <c r="A103" i="9"/>
  <c r="B102" i="9"/>
  <c r="A102" i="9"/>
  <c r="B101" i="9"/>
  <c r="A101" i="9"/>
  <c r="B100" i="9"/>
  <c r="A100" i="9"/>
  <c r="B99" i="9"/>
  <c r="A99" i="9"/>
  <c r="B98" i="9"/>
  <c r="A98" i="9"/>
  <c r="B97" i="9"/>
  <c r="A97" i="9"/>
  <c r="B96" i="9"/>
  <c r="A96" i="9"/>
  <c r="B95" i="9"/>
  <c r="A95" i="9"/>
  <c r="B94" i="9"/>
  <c r="A94" i="9"/>
  <c r="B93" i="9"/>
  <c r="A93" i="9"/>
  <c r="B92" i="9"/>
  <c r="A92" i="9"/>
  <c r="B91" i="9"/>
  <c r="A91" i="9"/>
  <c r="B90" i="9"/>
  <c r="A90" i="9"/>
  <c r="B89" i="9"/>
  <c r="A89" i="9"/>
  <c r="B88" i="9"/>
  <c r="A88" i="9"/>
  <c r="B87" i="9"/>
  <c r="A87" i="9"/>
  <c r="B86" i="9"/>
  <c r="A86" i="9"/>
  <c r="B85" i="9"/>
  <c r="A85" i="9"/>
  <c r="B84" i="9"/>
  <c r="A84" i="9"/>
  <c r="B83" i="9"/>
  <c r="A83" i="9"/>
  <c r="B82" i="9"/>
  <c r="A82" i="9"/>
  <c r="B81" i="9"/>
  <c r="A81" i="9"/>
  <c r="B80" i="9"/>
  <c r="A80" i="9"/>
  <c r="B79" i="9"/>
  <c r="A79" i="9"/>
  <c r="B78" i="9"/>
  <c r="A78" i="9"/>
  <c r="B77" i="9"/>
  <c r="A77" i="9"/>
  <c r="B76" i="9"/>
  <c r="A76" i="9"/>
  <c r="B75" i="9"/>
  <c r="A75" i="9"/>
  <c r="B74" i="9"/>
  <c r="A74" i="9"/>
  <c r="B73" i="9"/>
  <c r="A73" i="9"/>
  <c r="B72" i="9"/>
  <c r="A72" i="9"/>
  <c r="B71" i="9"/>
  <c r="A71" i="9"/>
  <c r="B70" i="9"/>
  <c r="A70" i="9"/>
  <c r="B69" i="9"/>
  <c r="A69" i="9"/>
  <c r="B68" i="9"/>
  <c r="A68" i="9"/>
  <c r="B67" i="9"/>
  <c r="A67" i="9"/>
  <c r="B66" i="9"/>
  <c r="A66" i="9"/>
  <c r="B65" i="9"/>
  <c r="A65" i="9"/>
  <c r="B64" i="9"/>
  <c r="A64" i="9"/>
  <c r="B63" i="9"/>
  <c r="A63" i="9"/>
  <c r="B62" i="9"/>
  <c r="A62" i="9"/>
  <c r="B61" i="9"/>
  <c r="A61" i="9"/>
  <c r="B60" i="9"/>
  <c r="A60" i="9"/>
  <c r="B59" i="9"/>
  <c r="A59" i="9"/>
  <c r="B58" i="9"/>
  <c r="A58" i="9"/>
  <c r="B57" i="9"/>
  <c r="A57" i="9"/>
  <c r="B56" i="9"/>
  <c r="A56" i="9"/>
  <c r="B55" i="9"/>
  <c r="A55" i="9"/>
  <c r="B54" i="9"/>
  <c r="A54" i="9"/>
  <c r="B53" i="9"/>
  <c r="A53" i="9"/>
  <c r="B52" i="9"/>
  <c r="A52" i="9"/>
  <c r="B51" i="9"/>
  <c r="A51" i="9"/>
  <c r="B50" i="9"/>
  <c r="A50" i="9"/>
  <c r="B49" i="9"/>
  <c r="A49" i="9"/>
  <c r="B48" i="9"/>
  <c r="A48" i="9"/>
  <c r="B47" i="9"/>
  <c r="A47" i="9"/>
  <c r="B46" i="9"/>
  <c r="A46" i="9"/>
  <c r="B45" i="9"/>
  <c r="A45" i="9"/>
  <c r="B44" i="9"/>
  <c r="A44" i="9"/>
  <c r="B43" i="9"/>
  <c r="A43" i="9"/>
  <c r="B42" i="9"/>
  <c r="A42" i="9"/>
  <c r="B41" i="9"/>
  <c r="A41" i="9"/>
  <c r="B40" i="9"/>
  <c r="A40" i="9"/>
  <c r="B39" i="9"/>
  <c r="A39" i="9"/>
  <c r="B38" i="9"/>
  <c r="A38" i="9"/>
  <c r="B37" i="9"/>
  <c r="A37" i="9"/>
  <c r="B36" i="9"/>
  <c r="A36" i="9"/>
  <c r="B35" i="9"/>
  <c r="A35" i="9"/>
  <c r="B34" i="9"/>
  <c r="A34" i="9"/>
  <c r="B33" i="9"/>
  <c r="A33" i="9"/>
  <c r="B32" i="9"/>
  <c r="A32" i="9"/>
  <c r="B31" i="9"/>
  <c r="A31" i="9"/>
  <c r="B30" i="9"/>
  <c r="A30" i="9"/>
  <c r="B29" i="9"/>
  <c r="A29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B8" i="9"/>
  <c r="A8" i="9"/>
  <c r="B7" i="9"/>
  <c r="A7" i="9"/>
  <c r="B6" i="9"/>
  <c r="A6" i="9"/>
  <c r="B5" i="9"/>
  <c r="A5" i="9"/>
  <c r="B4" i="9"/>
  <c r="A4" i="9"/>
  <c r="B3" i="9"/>
  <c r="A3" i="9"/>
  <c r="B2" i="9"/>
  <c r="A2" i="9"/>
  <c r="C195" i="8"/>
  <c r="B195" i="8"/>
  <c r="A195" i="8"/>
  <c r="C194" i="8"/>
  <c r="B194" i="8"/>
  <c r="A194" i="8"/>
  <c r="C193" i="8"/>
  <c r="B193" i="8"/>
  <c r="A193" i="8"/>
  <c r="C192" i="8"/>
  <c r="B192" i="8"/>
  <c r="A192" i="8"/>
  <c r="C191" i="8"/>
  <c r="B191" i="8"/>
  <c r="A191" i="8"/>
  <c r="C190" i="8"/>
  <c r="B190" i="8"/>
  <c r="A190" i="8"/>
  <c r="C189" i="8"/>
  <c r="B189" i="8"/>
  <c r="A189" i="8"/>
  <c r="C188" i="8"/>
  <c r="B188" i="8"/>
  <c r="A188" i="8"/>
  <c r="C187" i="8"/>
  <c r="B187" i="8"/>
  <c r="A187" i="8"/>
  <c r="C186" i="8"/>
  <c r="B186" i="8"/>
  <c r="A186" i="8"/>
  <c r="C185" i="8"/>
  <c r="B185" i="8"/>
  <c r="A185" i="8"/>
  <c r="C184" i="8"/>
  <c r="B184" i="8"/>
  <c r="A184" i="8"/>
  <c r="C183" i="8"/>
  <c r="B183" i="8"/>
  <c r="A183" i="8"/>
  <c r="C182" i="8"/>
  <c r="B182" i="8"/>
  <c r="A182" i="8"/>
  <c r="C181" i="8"/>
  <c r="B181" i="8"/>
  <c r="A181" i="8"/>
  <c r="C180" i="8"/>
  <c r="B180" i="8"/>
  <c r="A180" i="8"/>
  <c r="C179" i="8"/>
  <c r="B179" i="8"/>
  <c r="A179" i="8"/>
  <c r="C178" i="8"/>
  <c r="B178" i="8"/>
  <c r="A178" i="8"/>
  <c r="C177" i="8"/>
  <c r="B177" i="8"/>
  <c r="A177" i="8"/>
  <c r="C176" i="8"/>
  <c r="B176" i="8"/>
  <c r="A176" i="8"/>
  <c r="C175" i="8"/>
  <c r="B175" i="8"/>
  <c r="A175" i="8"/>
  <c r="C174" i="8"/>
  <c r="B174" i="8"/>
  <c r="A174" i="8"/>
  <c r="C173" i="8"/>
  <c r="B173" i="8"/>
  <c r="A173" i="8"/>
  <c r="C172" i="8"/>
  <c r="B172" i="8"/>
  <c r="A172" i="8"/>
  <c r="C171" i="8"/>
  <c r="B171" i="8"/>
  <c r="A171" i="8"/>
  <c r="C170" i="8"/>
  <c r="B170" i="8"/>
  <c r="A170" i="8"/>
  <c r="C169" i="8"/>
  <c r="B169" i="8"/>
  <c r="A169" i="8"/>
  <c r="C168" i="8"/>
  <c r="B168" i="8"/>
  <c r="A168" i="8"/>
  <c r="C167" i="8"/>
  <c r="B167" i="8"/>
  <c r="A167" i="8"/>
  <c r="C166" i="8"/>
  <c r="B166" i="8"/>
  <c r="A166" i="8"/>
  <c r="C165" i="8"/>
  <c r="B165" i="8"/>
  <c r="A165" i="8"/>
  <c r="C164" i="8"/>
  <c r="B164" i="8"/>
  <c r="A164" i="8"/>
  <c r="C163" i="8"/>
  <c r="B163" i="8"/>
  <c r="A163" i="8"/>
  <c r="C162" i="8"/>
  <c r="B162" i="8"/>
  <c r="A162" i="8"/>
  <c r="C161" i="8"/>
  <c r="B161" i="8"/>
  <c r="A161" i="8"/>
  <c r="C160" i="8"/>
  <c r="B160" i="8"/>
  <c r="A160" i="8"/>
  <c r="C159" i="8"/>
  <c r="B159" i="8"/>
  <c r="A159" i="8"/>
  <c r="C158" i="8"/>
  <c r="B158" i="8"/>
  <c r="A158" i="8"/>
  <c r="C157" i="8"/>
  <c r="B157" i="8"/>
  <c r="A157" i="8"/>
  <c r="C156" i="8"/>
  <c r="B156" i="8"/>
  <c r="A156" i="8"/>
  <c r="C155" i="8"/>
  <c r="B155" i="8"/>
  <c r="A155" i="8"/>
  <c r="C154" i="8"/>
  <c r="B154" i="8"/>
  <c r="A154" i="8"/>
  <c r="C153" i="8"/>
  <c r="B153" i="8"/>
  <c r="A153" i="8"/>
  <c r="C152" i="8"/>
  <c r="B152" i="8"/>
  <c r="A152" i="8"/>
  <c r="C151" i="8"/>
  <c r="B151" i="8"/>
  <c r="A151" i="8"/>
  <c r="C150" i="8"/>
  <c r="B150" i="8"/>
  <c r="A150" i="8"/>
  <c r="C149" i="8"/>
  <c r="B149" i="8"/>
  <c r="A149" i="8"/>
  <c r="C148" i="8"/>
  <c r="B148" i="8"/>
  <c r="A148" i="8"/>
  <c r="C147" i="8"/>
  <c r="B147" i="8"/>
  <c r="A147" i="8"/>
  <c r="C146" i="8"/>
  <c r="B146" i="8"/>
  <c r="A146" i="8"/>
  <c r="C145" i="8"/>
  <c r="B145" i="8"/>
  <c r="A145" i="8"/>
  <c r="C144" i="8"/>
  <c r="B144" i="8"/>
  <c r="A144" i="8"/>
  <c r="C143" i="8"/>
  <c r="B143" i="8"/>
  <c r="A143" i="8"/>
  <c r="C142" i="8"/>
  <c r="B142" i="8"/>
  <c r="A142" i="8"/>
  <c r="C141" i="8"/>
  <c r="B141" i="8"/>
  <c r="A141" i="8"/>
  <c r="C140" i="8"/>
  <c r="B140" i="8"/>
  <c r="A140" i="8"/>
  <c r="C139" i="8"/>
  <c r="B139" i="8"/>
  <c r="A139" i="8"/>
  <c r="C138" i="8"/>
  <c r="B138" i="8"/>
  <c r="A138" i="8"/>
  <c r="C137" i="8"/>
  <c r="B137" i="8"/>
  <c r="A137" i="8"/>
  <c r="C136" i="8"/>
  <c r="B136" i="8"/>
  <c r="A136" i="8"/>
  <c r="C135" i="8"/>
  <c r="B135" i="8"/>
  <c r="A135" i="8"/>
  <c r="C134" i="8"/>
  <c r="B134" i="8"/>
  <c r="A134" i="8"/>
  <c r="C133" i="8"/>
  <c r="B133" i="8"/>
  <c r="A133" i="8"/>
  <c r="C132" i="8"/>
  <c r="B132" i="8"/>
  <c r="A132" i="8"/>
  <c r="C131" i="8"/>
  <c r="B131" i="8"/>
  <c r="A131" i="8"/>
  <c r="C130" i="8"/>
  <c r="B130" i="8"/>
  <c r="A130" i="8"/>
  <c r="C129" i="8"/>
  <c r="B129" i="8"/>
  <c r="A129" i="8"/>
  <c r="C128" i="8"/>
  <c r="B128" i="8"/>
  <c r="A128" i="8"/>
  <c r="C127" i="8"/>
  <c r="B127" i="8"/>
  <c r="A127" i="8"/>
  <c r="C126" i="8"/>
  <c r="B126" i="8"/>
  <c r="A126" i="8"/>
  <c r="C125" i="8"/>
  <c r="B125" i="8"/>
  <c r="A125" i="8"/>
  <c r="C124" i="8"/>
  <c r="B124" i="8"/>
  <c r="A124" i="8"/>
  <c r="C123" i="8"/>
  <c r="B123" i="8"/>
  <c r="A123" i="8"/>
  <c r="C122" i="8"/>
  <c r="B122" i="8"/>
  <c r="A122" i="8"/>
  <c r="C121" i="8"/>
  <c r="B121" i="8"/>
  <c r="A121" i="8"/>
  <c r="C120" i="8"/>
  <c r="B120" i="8"/>
  <c r="A120" i="8"/>
  <c r="C119" i="8"/>
  <c r="B119" i="8"/>
  <c r="A119" i="8"/>
  <c r="C118" i="8"/>
  <c r="B118" i="8"/>
  <c r="A118" i="8"/>
  <c r="C117" i="8"/>
  <c r="B117" i="8"/>
  <c r="A117" i="8"/>
  <c r="C116" i="8"/>
  <c r="B116" i="8"/>
  <c r="A116" i="8"/>
  <c r="C115" i="8"/>
  <c r="B115" i="8"/>
  <c r="A115" i="8"/>
  <c r="C114" i="8"/>
  <c r="B114" i="8"/>
  <c r="A114" i="8"/>
  <c r="C113" i="8"/>
  <c r="B113" i="8"/>
  <c r="A113" i="8"/>
  <c r="C112" i="8"/>
  <c r="B112" i="8"/>
  <c r="A112" i="8"/>
  <c r="C111" i="8"/>
  <c r="B111" i="8"/>
  <c r="A111" i="8"/>
  <c r="C110" i="8"/>
  <c r="B110" i="8"/>
  <c r="A110" i="8"/>
  <c r="C109" i="8"/>
  <c r="B109" i="8"/>
  <c r="A109" i="8"/>
  <c r="C108" i="8"/>
  <c r="B108" i="8"/>
  <c r="A108" i="8"/>
  <c r="C107" i="8"/>
  <c r="B107" i="8"/>
  <c r="A107" i="8"/>
  <c r="C106" i="8"/>
  <c r="B106" i="8"/>
  <c r="A106" i="8"/>
  <c r="C105" i="8"/>
  <c r="B105" i="8"/>
  <c r="A105" i="8"/>
  <c r="C104" i="8"/>
  <c r="B104" i="8"/>
  <c r="A104" i="8"/>
  <c r="C103" i="8"/>
  <c r="B103" i="8"/>
  <c r="A103" i="8"/>
  <c r="C102" i="8"/>
  <c r="B102" i="8"/>
  <c r="A102" i="8"/>
  <c r="C101" i="8"/>
  <c r="B101" i="8"/>
  <c r="A101" i="8"/>
  <c r="C100" i="8"/>
  <c r="B100" i="8"/>
  <c r="A100" i="8"/>
  <c r="C99" i="8"/>
  <c r="B99" i="8"/>
  <c r="A99" i="8"/>
  <c r="C98" i="8"/>
  <c r="B98" i="8"/>
  <c r="A98" i="8"/>
  <c r="C97" i="8"/>
  <c r="B97" i="8"/>
  <c r="A97" i="8"/>
  <c r="C96" i="8"/>
  <c r="B96" i="8"/>
  <c r="A96" i="8"/>
  <c r="C95" i="8"/>
  <c r="B95" i="8"/>
  <c r="A95" i="8"/>
  <c r="C94" i="8"/>
  <c r="B94" i="8"/>
  <c r="A94" i="8"/>
  <c r="C93" i="8"/>
  <c r="B93" i="8"/>
  <c r="A93" i="8"/>
  <c r="C92" i="8"/>
  <c r="B92" i="8"/>
  <c r="A92" i="8"/>
  <c r="C91" i="8"/>
  <c r="B91" i="8"/>
  <c r="A91" i="8"/>
  <c r="C90" i="8"/>
  <c r="B90" i="8"/>
  <c r="A90" i="8"/>
  <c r="C89" i="8"/>
  <c r="B89" i="8"/>
  <c r="A89" i="8"/>
  <c r="C88" i="8"/>
  <c r="B88" i="8"/>
  <c r="A88" i="8"/>
  <c r="C87" i="8"/>
  <c r="B87" i="8"/>
  <c r="A87" i="8"/>
  <c r="C86" i="8"/>
  <c r="B86" i="8"/>
  <c r="A86" i="8"/>
  <c r="C85" i="8"/>
  <c r="B85" i="8"/>
  <c r="A85" i="8"/>
  <c r="C84" i="8"/>
  <c r="B84" i="8"/>
  <c r="A84" i="8"/>
  <c r="C83" i="8"/>
  <c r="B83" i="8"/>
  <c r="A83" i="8"/>
  <c r="C82" i="8"/>
  <c r="B82" i="8"/>
  <c r="A82" i="8"/>
  <c r="C81" i="8"/>
  <c r="B81" i="8"/>
  <c r="A81" i="8"/>
  <c r="C80" i="8"/>
  <c r="B80" i="8"/>
  <c r="A80" i="8"/>
  <c r="C79" i="8"/>
  <c r="B79" i="8"/>
  <c r="A79" i="8"/>
  <c r="C78" i="8"/>
  <c r="B78" i="8"/>
  <c r="A78" i="8"/>
  <c r="C77" i="8"/>
  <c r="B77" i="8"/>
  <c r="A77" i="8"/>
  <c r="C76" i="8"/>
  <c r="B76" i="8"/>
  <c r="A76" i="8"/>
  <c r="C75" i="8"/>
  <c r="B75" i="8"/>
  <c r="A75" i="8"/>
  <c r="C74" i="8"/>
  <c r="B74" i="8"/>
  <c r="A74" i="8"/>
  <c r="C73" i="8"/>
  <c r="B73" i="8"/>
  <c r="A73" i="8"/>
  <c r="C72" i="8"/>
  <c r="B72" i="8"/>
  <c r="A72" i="8"/>
  <c r="C71" i="8"/>
  <c r="B71" i="8"/>
  <c r="A71" i="8"/>
  <c r="C70" i="8"/>
  <c r="B70" i="8"/>
  <c r="A70" i="8"/>
  <c r="C69" i="8"/>
  <c r="B69" i="8"/>
  <c r="A69" i="8"/>
  <c r="C68" i="8"/>
  <c r="B68" i="8"/>
  <c r="A68" i="8"/>
  <c r="C67" i="8"/>
  <c r="B67" i="8"/>
  <c r="A67" i="8"/>
  <c r="C66" i="8"/>
  <c r="B66" i="8"/>
  <c r="A66" i="8"/>
  <c r="C65" i="8"/>
  <c r="B65" i="8"/>
  <c r="A65" i="8"/>
  <c r="C64" i="8"/>
  <c r="B64" i="8"/>
  <c r="A64" i="8"/>
  <c r="C63" i="8"/>
  <c r="B63" i="8"/>
  <c r="A63" i="8"/>
  <c r="C62" i="8"/>
  <c r="B62" i="8"/>
  <c r="A62" i="8"/>
  <c r="C61" i="8"/>
  <c r="B61" i="8"/>
  <c r="A61" i="8"/>
  <c r="C60" i="8"/>
  <c r="B60" i="8"/>
  <c r="A60" i="8"/>
  <c r="C59" i="8"/>
  <c r="B59" i="8"/>
  <c r="A59" i="8"/>
  <c r="C58" i="8"/>
  <c r="B58" i="8"/>
  <c r="A58" i="8"/>
  <c r="C57" i="8"/>
  <c r="B57" i="8"/>
  <c r="A57" i="8"/>
  <c r="C56" i="8"/>
  <c r="B56" i="8"/>
  <c r="A56" i="8"/>
  <c r="C55" i="8"/>
  <c r="B55" i="8"/>
  <c r="A55" i="8"/>
  <c r="C54" i="8"/>
  <c r="B54" i="8"/>
  <c r="A54" i="8"/>
  <c r="C53" i="8"/>
  <c r="B53" i="8"/>
  <c r="A53" i="8"/>
  <c r="C52" i="8"/>
  <c r="B52" i="8"/>
  <c r="A52" i="8"/>
  <c r="C51" i="8"/>
  <c r="B51" i="8"/>
  <c r="A51" i="8"/>
  <c r="C50" i="8"/>
  <c r="B50" i="8"/>
  <c r="A50" i="8"/>
  <c r="C49" i="8"/>
  <c r="B49" i="8"/>
  <c r="A49" i="8"/>
  <c r="C48" i="8"/>
  <c r="B48" i="8"/>
  <c r="A48" i="8"/>
  <c r="C47" i="8"/>
  <c r="B47" i="8"/>
  <c r="A47" i="8"/>
  <c r="C46" i="8"/>
  <c r="B46" i="8"/>
  <c r="A46" i="8"/>
  <c r="C45" i="8"/>
  <c r="B45" i="8"/>
  <c r="A45" i="8"/>
  <c r="C44" i="8"/>
  <c r="B44" i="8"/>
  <c r="A44" i="8"/>
  <c r="C43" i="8"/>
  <c r="B43" i="8"/>
  <c r="A43" i="8"/>
  <c r="C42" i="8"/>
  <c r="B42" i="8"/>
  <c r="A42" i="8"/>
  <c r="C41" i="8"/>
  <c r="B41" i="8"/>
  <c r="A41" i="8"/>
  <c r="C40" i="8"/>
  <c r="B40" i="8"/>
  <c r="A40" i="8"/>
  <c r="C39" i="8"/>
  <c r="B39" i="8"/>
  <c r="A39" i="8"/>
  <c r="C38" i="8"/>
  <c r="B38" i="8"/>
  <c r="A38" i="8"/>
  <c r="C37" i="8"/>
  <c r="B37" i="8"/>
  <c r="A37" i="8"/>
  <c r="C36" i="8"/>
  <c r="B36" i="8"/>
  <c r="A36" i="8"/>
  <c r="C35" i="8"/>
  <c r="B35" i="8"/>
  <c r="A35" i="8"/>
  <c r="C34" i="8"/>
  <c r="B34" i="8"/>
  <c r="A34" i="8"/>
  <c r="C33" i="8"/>
  <c r="B33" i="8"/>
  <c r="A33" i="8"/>
  <c r="C32" i="8"/>
  <c r="B32" i="8"/>
  <c r="A32" i="8"/>
  <c r="C31" i="8"/>
  <c r="B31" i="8"/>
  <c r="A31" i="8"/>
  <c r="C30" i="8"/>
  <c r="B30" i="8"/>
  <c r="A30" i="8"/>
  <c r="C29" i="8"/>
  <c r="B29" i="8"/>
  <c r="A29" i="8"/>
  <c r="C28" i="8"/>
  <c r="B28" i="8"/>
  <c r="A28" i="8"/>
  <c r="C27" i="8"/>
  <c r="B27" i="8"/>
  <c r="A27" i="8"/>
  <c r="C26" i="8"/>
  <c r="B26" i="8"/>
  <c r="A26" i="8"/>
  <c r="C25" i="8"/>
  <c r="B25" i="8"/>
  <c r="A25" i="8"/>
  <c r="C24" i="8"/>
  <c r="B24" i="8"/>
  <c r="A24" i="8"/>
  <c r="C23" i="8"/>
  <c r="B23" i="8"/>
  <c r="A23" i="8"/>
  <c r="C22" i="8"/>
  <c r="B22" i="8"/>
  <c r="A22" i="8"/>
  <c r="C21" i="8"/>
  <c r="B21" i="8"/>
  <c r="A21" i="8"/>
  <c r="C20" i="8"/>
  <c r="B20" i="8"/>
  <c r="A20" i="8"/>
  <c r="C19" i="8"/>
  <c r="B19" i="8"/>
  <c r="A19" i="8"/>
  <c r="C18" i="8"/>
  <c r="B18" i="8"/>
  <c r="A18" i="8"/>
  <c r="C17" i="8"/>
  <c r="B17" i="8"/>
  <c r="A17" i="8"/>
  <c r="C16" i="8"/>
  <c r="B16" i="8"/>
  <c r="A16" i="8"/>
  <c r="C15" i="8"/>
  <c r="B15" i="8"/>
  <c r="A15" i="8"/>
  <c r="C14" i="8"/>
  <c r="B14" i="8"/>
  <c r="A14" i="8"/>
  <c r="C13" i="8"/>
  <c r="B13" i="8"/>
  <c r="A13" i="8"/>
  <c r="C12" i="8"/>
  <c r="B12" i="8"/>
  <c r="A12" i="8"/>
  <c r="C11" i="8"/>
  <c r="B11" i="8"/>
  <c r="A11" i="8"/>
  <c r="C10" i="8"/>
  <c r="B10" i="8"/>
  <c r="A10" i="8"/>
  <c r="C9" i="8"/>
  <c r="B9" i="8"/>
  <c r="A9" i="8"/>
  <c r="C8" i="8"/>
  <c r="B8" i="8"/>
  <c r="A8" i="8"/>
  <c r="C7" i="8"/>
  <c r="B7" i="8"/>
  <c r="A7" i="8"/>
  <c r="C6" i="8"/>
  <c r="B6" i="8"/>
  <c r="A6" i="8"/>
  <c r="C5" i="8"/>
  <c r="B5" i="8"/>
  <c r="A5" i="8"/>
  <c r="C4" i="8"/>
  <c r="B4" i="8"/>
  <c r="A4" i="8"/>
  <c r="C3" i="8"/>
  <c r="B3" i="8"/>
  <c r="A3" i="8"/>
  <c r="C2" i="8"/>
  <c r="B2" i="8"/>
  <c r="A2" i="8"/>
  <c r="D195" i="7"/>
  <c r="C195" i="7"/>
  <c r="B195" i="7"/>
  <c r="A195" i="7"/>
  <c r="D194" i="7"/>
  <c r="C194" i="7"/>
  <c r="B194" i="7"/>
  <c r="A194" i="7"/>
  <c r="D193" i="7"/>
  <c r="C193" i="7"/>
  <c r="B193" i="7"/>
  <c r="A193" i="7"/>
  <c r="D192" i="7"/>
  <c r="C192" i="7"/>
  <c r="B192" i="7"/>
  <c r="A192" i="7"/>
  <c r="D191" i="7"/>
  <c r="C191" i="7"/>
  <c r="B191" i="7"/>
  <c r="A191" i="7"/>
  <c r="D190" i="7"/>
  <c r="C190" i="7"/>
  <c r="B190" i="7"/>
  <c r="A190" i="7"/>
  <c r="D189" i="7"/>
  <c r="C189" i="7"/>
  <c r="B189" i="7"/>
  <c r="A189" i="7"/>
  <c r="D188" i="7"/>
  <c r="C188" i="7"/>
  <c r="B188" i="7"/>
  <c r="A188" i="7"/>
  <c r="D187" i="7"/>
  <c r="C187" i="7"/>
  <c r="B187" i="7"/>
  <c r="A187" i="7"/>
  <c r="D186" i="7"/>
  <c r="C186" i="7"/>
  <c r="B186" i="7"/>
  <c r="A186" i="7"/>
  <c r="D185" i="7"/>
  <c r="C185" i="7"/>
  <c r="B185" i="7"/>
  <c r="A185" i="7"/>
  <c r="D184" i="7"/>
  <c r="C184" i="7"/>
  <c r="B184" i="7"/>
  <c r="A184" i="7"/>
  <c r="D183" i="7"/>
  <c r="C183" i="7"/>
  <c r="B183" i="7"/>
  <c r="A183" i="7"/>
  <c r="D182" i="7"/>
  <c r="C182" i="7"/>
  <c r="B182" i="7"/>
  <c r="A182" i="7"/>
  <c r="D181" i="7"/>
  <c r="C181" i="7"/>
  <c r="B181" i="7"/>
  <c r="A181" i="7"/>
  <c r="D180" i="7"/>
  <c r="C180" i="7"/>
  <c r="B180" i="7"/>
  <c r="A180" i="7"/>
  <c r="D179" i="7"/>
  <c r="C179" i="7"/>
  <c r="B179" i="7"/>
  <c r="A179" i="7"/>
  <c r="D178" i="7"/>
  <c r="C178" i="7"/>
  <c r="B178" i="7"/>
  <c r="A178" i="7"/>
  <c r="D177" i="7"/>
  <c r="C177" i="7"/>
  <c r="B177" i="7"/>
  <c r="A177" i="7"/>
  <c r="D176" i="7"/>
  <c r="C176" i="7"/>
  <c r="B176" i="7"/>
  <c r="A176" i="7"/>
  <c r="D175" i="7"/>
  <c r="C175" i="7"/>
  <c r="B175" i="7"/>
  <c r="A175" i="7"/>
  <c r="D174" i="7"/>
  <c r="C174" i="7"/>
  <c r="B174" i="7"/>
  <c r="A174" i="7"/>
  <c r="D173" i="7"/>
  <c r="C173" i="7"/>
  <c r="B173" i="7"/>
  <c r="A173" i="7"/>
  <c r="D172" i="7"/>
  <c r="C172" i="7"/>
  <c r="B172" i="7"/>
  <c r="A172" i="7"/>
  <c r="D171" i="7"/>
  <c r="C171" i="7"/>
  <c r="B171" i="7"/>
  <c r="A171" i="7"/>
  <c r="D170" i="7"/>
  <c r="C170" i="7"/>
  <c r="B170" i="7"/>
  <c r="A170" i="7"/>
  <c r="D169" i="7"/>
  <c r="C169" i="7"/>
  <c r="B169" i="7"/>
  <c r="A169" i="7"/>
  <c r="D168" i="7"/>
  <c r="C168" i="7"/>
  <c r="B168" i="7"/>
  <c r="A168" i="7"/>
  <c r="D167" i="7"/>
  <c r="C167" i="7"/>
  <c r="B167" i="7"/>
  <c r="A167" i="7"/>
  <c r="D166" i="7"/>
  <c r="C166" i="7"/>
  <c r="B166" i="7"/>
  <c r="A166" i="7"/>
  <c r="D165" i="7"/>
  <c r="C165" i="7"/>
  <c r="B165" i="7"/>
  <c r="A165" i="7"/>
  <c r="D164" i="7"/>
  <c r="C164" i="7"/>
  <c r="B164" i="7"/>
  <c r="A164" i="7"/>
  <c r="D163" i="7"/>
  <c r="C163" i="7"/>
  <c r="B163" i="7"/>
  <c r="A163" i="7"/>
  <c r="D162" i="7"/>
  <c r="C162" i="7"/>
  <c r="B162" i="7"/>
  <c r="A162" i="7"/>
  <c r="D161" i="7"/>
  <c r="C161" i="7"/>
  <c r="B161" i="7"/>
  <c r="A161" i="7"/>
  <c r="D160" i="7"/>
  <c r="C160" i="7"/>
  <c r="B160" i="7"/>
  <c r="A160" i="7"/>
  <c r="D159" i="7"/>
  <c r="C159" i="7"/>
  <c r="B159" i="7"/>
  <c r="A159" i="7"/>
  <c r="D158" i="7"/>
  <c r="C158" i="7"/>
  <c r="B158" i="7"/>
  <c r="A158" i="7"/>
  <c r="D157" i="7"/>
  <c r="C157" i="7"/>
  <c r="B157" i="7"/>
  <c r="A157" i="7"/>
  <c r="D156" i="7"/>
  <c r="C156" i="7"/>
  <c r="B156" i="7"/>
  <c r="A156" i="7"/>
  <c r="D155" i="7"/>
  <c r="C155" i="7"/>
  <c r="B155" i="7"/>
  <c r="A155" i="7"/>
  <c r="D154" i="7"/>
  <c r="C154" i="7"/>
  <c r="B154" i="7"/>
  <c r="A154" i="7"/>
  <c r="D153" i="7"/>
  <c r="C153" i="7"/>
  <c r="B153" i="7"/>
  <c r="A153" i="7"/>
  <c r="D152" i="7"/>
  <c r="C152" i="7"/>
  <c r="B152" i="7"/>
  <c r="A152" i="7"/>
  <c r="D151" i="7"/>
  <c r="C151" i="7"/>
  <c r="B151" i="7"/>
  <c r="A151" i="7"/>
  <c r="D150" i="7"/>
  <c r="C150" i="7"/>
  <c r="B150" i="7"/>
  <c r="A150" i="7"/>
  <c r="D149" i="7"/>
  <c r="C149" i="7"/>
  <c r="B149" i="7"/>
  <c r="A149" i="7"/>
  <c r="D148" i="7"/>
  <c r="C148" i="7"/>
  <c r="B148" i="7"/>
  <c r="A148" i="7"/>
  <c r="D147" i="7"/>
  <c r="C147" i="7"/>
  <c r="B147" i="7"/>
  <c r="A147" i="7"/>
  <c r="D146" i="7"/>
  <c r="C146" i="7"/>
  <c r="B146" i="7"/>
  <c r="A146" i="7"/>
  <c r="D145" i="7"/>
  <c r="C145" i="7"/>
  <c r="B145" i="7"/>
  <c r="A145" i="7"/>
  <c r="D144" i="7"/>
  <c r="C144" i="7"/>
  <c r="B144" i="7"/>
  <c r="A144" i="7"/>
  <c r="D143" i="7"/>
  <c r="C143" i="7"/>
  <c r="B143" i="7"/>
  <c r="A143" i="7"/>
  <c r="D142" i="7"/>
  <c r="C142" i="7"/>
  <c r="B142" i="7"/>
  <c r="A142" i="7"/>
  <c r="D141" i="7"/>
  <c r="C141" i="7"/>
  <c r="B141" i="7"/>
  <c r="A141" i="7"/>
  <c r="D140" i="7"/>
  <c r="C140" i="7"/>
  <c r="B140" i="7"/>
  <c r="A140" i="7"/>
  <c r="D139" i="7"/>
  <c r="C139" i="7"/>
  <c r="B139" i="7"/>
  <c r="A139" i="7"/>
  <c r="D138" i="7"/>
  <c r="C138" i="7"/>
  <c r="B138" i="7"/>
  <c r="A138" i="7"/>
  <c r="D137" i="7"/>
  <c r="C137" i="7"/>
  <c r="B137" i="7"/>
  <c r="A137" i="7"/>
  <c r="D136" i="7"/>
  <c r="C136" i="7"/>
  <c r="B136" i="7"/>
  <c r="A136" i="7"/>
  <c r="D135" i="7"/>
  <c r="C135" i="7"/>
  <c r="B135" i="7"/>
  <c r="A135" i="7"/>
  <c r="D134" i="7"/>
  <c r="C134" i="7"/>
  <c r="B134" i="7"/>
  <c r="A134" i="7"/>
  <c r="D133" i="7"/>
  <c r="C133" i="7"/>
  <c r="B133" i="7"/>
  <c r="A133" i="7"/>
  <c r="D132" i="7"/>
  <c r="C132" i="7"/>
  <c r="B132" i="7"/>
  <c r="A132" i="7"/>
  <c r="D131" i="7"/>
  <c r="C131" i="7"/>
  <c r="B131" i="7"/>
  <c r="A131" i="7"/>
  <c r="D130" i="7"/>
  <c r="C130" i="7"/>
  <c r="B130" i="7"/>
  <c r="A130" i="7"/>
  <c r="D129" i="7"/>
  <c r="C129" i="7"/>
  <c r="B129" i="7"/>
  <c r="A129" i="7"/>
  <c r="D128" i="7"/>
  <c r="C128" i="7"/>
  <c r="B128" i="7"/>
  <c r="A128" i="7"/>
  <c r="D127" i="7"/>
  <c r="C127" i="7"/>
  <c r="B127" i="7"/>
  <c r="A127" i="7"/>
  <c r="D126" i="7"/>
  <c r="C126" i="7"/>
  <c r="B126" i="7"/>
  <c r="A126" i="7"/>
  <c r="D125" i="7"/>
  <c r="C125" i="7"/>
  <c r="B125" i="7"/>
  <c r="A125" i="7"/>
  <c r="D124" i="7"/>
  <c r="C124" i="7"/>
  <c r="B124" i="7"/>
  <c r="A124" i="7"/>
  <c r="D123" i="7"/>
  <c r="C123" i="7"/>
  <c r="B123" i="7"/>
  <c r="A123" i="7"/>
  <c r="D122" i="7"/>
  <c r="C122" i="7"/>
  <c r="B122" i="7"/>
  <c r="A122" i="7"/>
  <c r="D121" i="7"/>
  <c r="C121" i="7"/>
  <c r="B121" i="7"/>
  <c r="A121" i="7"/>
  <c r="D120" i="7"/>
  <c r="C120" i="7"/>
  <c r="B120" i="7"/>
  <c r="A120" i="7"/>
  <c r="D119" i="7"/>
  <c r="C119" i="7"/>
  <c r="B119" i="7"/>
  <c r="A119" i="7"/>
  <c r="D118" i="7"/>
  <c r="C118" i="7"/>
  <c r="B118" i="7"/>
  <c r="A118" i="7"/>
  <c r="D117" i="7"/>
  <c r="C117" i="7"/>
  <c r="B117" i="7"/>
  <c r="A117" i="7"/>
  <c r="D116" i="7"/>
  <c r="C116" i="7"/>
  <c r="B116" i="7"/>
  <c r="A116" i="7"/>
  <c r="D115" i="7"/>
  <c r="C115" i="7"/>
  <c r="B115" i="7"/>
  <c r="A115" i="7"/>
  <c r="D114" i="7"/>
  <c r="C114" i="7"/>
  <c r="B114" i="7"/>
  <c r="A114" i="7"/>
  <c r="D113" i="7"/>
  <c r="C113" i="7"/>
  <c r="B113" i="7"/>
  <c r="A113" i="7"/>
  <c r="D112" i="7"/>
  <c r="C112" i="7"/>
  <c r="B112" i="7"/>
  <c r="A112" i="7"/>
  <c r="D111" i="7"/>
  <c r="C111" i="7"/>
  <c r="B111" i="7"/>
  <c r="A111" i="7"/>
  <c r="D110" i="7"/>
  <c r="C110" i="7"/>
  <c r="B110" i="7"/>
  <c r="A110" i="7"/>
  <c r="D109" i="7"/>
  <c r="C109" i="7"/>
  <c r="B109" i="7"/>
  <c r="A109" i="7"/>
  <c r="D108" i="7"/>
  <c r="C108" i="7"/>
  <c r="B108" i="7"/>
  <c r="A108" i="7"/>
  <c r="D107" i="7"/>
  <c r="C107" i="7"/>
  <c r="B107" i="7"/>
  <c r="A107" i="7"/>
  <c r="D106" i="7"/>
  <c r="C106" i="7"/>
  <c r="B106" i="7"/>
  <c r="A106" i="7"/>
  <c r="D105" i="7"/>
  <c r="C105" i="7"/>
  <c r="B105" i="7"/>
  <c r="A105" i="7"/>
  <c r="D104" i="7"/>
  <c r="C104" i="7"/>
  <c r="B104" i="7"/>
  <c r="A104" i="7"/>
  <c r="D103" i="7"/>
  <c r="C103" i="7"/>
  <c r="B103" i="7"/>
  <c r="A103" i="7"/>
  <c r="D102" i="7"/>
  <c r="C102" i="7"/>
  <c r="B102" i="7"/>
  <c r="A102" i="7"/>
  <c r="D101" i="7"/>
  <c r="C101" i="7"/>
  <c r="B101" i="7"/>
  <c r="A101" i="7"/>
  <c r="D100" i="7"/>
  <c r="C100" i="7"/>
  <c r="B100" i="7"/>
  <c r="A100" i="7"/>
  <c r="D99" i="7"/>
  <c r="C99" i="7"/>
  <c r="B99" i="7"/>
  <c r="A99" i="7"/>
  <c r="D98" i="7"/>
  <c r="C98" i="7"/>
  <c r="B98" i="7"/>
  <c r="A98" i="7"/>
  <c r="D97" i="7"/>
  <c r="C97" i="7"/>
  <c r="B97" i="7"/>
  <c r="A97" i="7"/>
  <c r="D96" i="7"/>
  <c r="C96" i="7"/>
  <c r="B96" i="7"/>
  <c r="A96" i="7"/>
  <c r="D95" i="7"/>
  <c r="C95" i="7"/>
  <c r="B95" i="7"/>
  <c r="A95" i="7"/>
  <c r="D94" i="7"/>
  <c r="C94" i="7"/>
  <c r="B94" i="7"/>
  <c r="A94" i="7"/>
  <c r="D93" i="7"/>
  <c r="C93" i="7"/>
  <c r="B93" i="7"/>
  <c r="A93" i="7"/>
  <c r="D92" i="7"/>
  <c r="C92" i="7"/>
  <c r="B92" i="7"/>
  <c r="A92" i="7"/>
  <c r="D91" i="7"/>
  <c r="C91" i="7"/>
  <c r="B91" i="7"/>
  <c r="A91" i="7"/>
  <c r="D90" i="7"/>
  <c r="C90" i="7"/>
  <c r="B90" i="7"/>
  <c r="A90" i="7"/>
  <c r="D89" i="7"/>
  <c r="C89" i="7"/>
  <c r="B89" i="7"/>
  <c r="A89" i="7"/>
  <c r="D88" i="7"/>
  <c r="C88" i="7"/>
  <c r="B88" i="7"/>
  <c r="A88" i="7"/>
  <c r="D87" i="7"/>
  <c r="C87" i="7"/>
  <c r="B87" i="7"/>
  <c r="A87" i="7"/>
  <c r="D86" i="7"/>
  <c r="C86" i="7"/>
  <c r="B86" i="7"/>
  <c r="A86" i="7"/>
  <c r="D85" i="7"/>
  <c r="C85" i="7"/>
  <c r="B85" i="7"/>
  <c r="A85" i="7"/>
  <c r="D84" i="7"/>
  <c r="C84" i="7"/>
  <c r="B84" i="7"/>
  <c r="A84" i="7"/>
  <c r="D83" i="7"/>
  <c r="C83" i="7"/>
  <c r="B83" i="7"/>
  <c r="A83" i="7"/>
  <c r="D82" i="7"/>
  <c r="C82" i="7"/>
  <c r="B82" i="7"/>
  <c r="A82" i="7"/>
  <c r="D81" i="7"/>
  <c r="C81" i="7"/>
  <c r="B81" i="7"/>
  <c r="A81" i="7"/>
  <c r="D80" i="7"/>
  <c r="C80" i="7"/>
  <c r="B80" i="7"/>
  <c r="A80" i="7"/>
  <c r="D79" i="7"/>
  <c r="C79" i="7"/>
  <c r="B79" i="7"/>
  <c r="A79" i="7"/>
  <c r="D78" i="7"/>
  <c r="C78" i="7"/>
  <c r="B78" i="7"/>
  <c r="A78" i="7"/>
  <c r="D77" i="7"/>
  <c r="C77" i="7"/>
  <c r="B77" i="7"/>
  <c r="A77" i="7"/>
  <c r="D76" i="7"/>
  <c r="C76" i="7"/>
  <c r="B76" i="7"/>
  <c r="A76" i="7"/>
  <c r="D75" i="7"/>
  <c r="C75" i="7"/>
  <c r="B75" i="7"/>
  <c r="A75" i="7"/>
  <c r="D74" i="7"/>
  <c r="C74" i="7"/>
  <c r="B74" i="7"/>
  <c r="A74" i="7"/>
  <c r="D73" i="7"/>
  <c r="C73" i="7"/>
  <c r="B73" i="7"/>
  <c r="A73" i="7"/>
  <c r="D72" i="7"/>
  <c r="C72" i="7"/>
  <c r="B72" i="7"/>
  <c r="A72" i="7"/>
  <c r="D71" i="7"/>
  <c r="C71" i="7"/>
  <c r="B71" i="7"/>
  <c r="A71" i="7"/>
  <c r="D70" i="7"/>
  <c r="C70" i="7"/>
  <c r="B70" i="7"/>
  <c r="A70" i="7"/>
  <c r="D69" i="7"/>
  <c r="C69" i="7"/>
  <c r="B69" i="7"/>
  <c r="A69" i="7"/>
  <c r="D68" i="7"/>
  <c r="C68" i="7"/>
  <c r="B68" i="7"/>
  <c r="A68" i="7"/>
  <c r="D67" i="7"/>
  <c r="C67" i="7"/>
  <c r="B67" i="7"/>
  <c r="A67" i="7"/>
  <c r="D66" i="7"/>
  <c r="C66" i="7"/>
  <c r="B66" i="7"/>
  <c r="A66" i="7"/>
  <c r="D65" i="7"/>
  <c r="C65" i="7"/>
  <c r="B65" i="7"/>
  <c r="A65" i="7"/>
  <c r="D64" i="7"/>
  <c r="C64" i="7"/>
  <c r="B64" i="7"/>
  <c r="A64" i="7"/>
  <c r="D63" i="7"/>
  <c r="C63" i="7"/>
  <c r="B63" i="7"/>
  <c r="A63" i="7"/>
  <c r="D62" i="7"/>
  <c r="C62" i="7"/>
  <c r="B62" i="7"/>
  <c r="A62" i="7"/>
  <c r="D61" i="7"/>
  <c r="C61" i="7"/>
  <c r="B61" i="7"/>
  <c r="A61" i="7"/>
  <c r="D60" i="7"/>
  <c r="C60" i="7"/>
  <c r="B60" i="7"/>
  <c r="A60" i="7"/>
  <c r="D59" i="7"/>
  <c r="C59" i="7"/>
  <c r="B59" i="7"/>
  <c r="A59" i="7"/>
  <c r="D58" i="7"/>
  <c r="C58" i="7"/>
  <c r="B58" i="7"/>
  <c r="A58" i="7"/>
  <c r="D57" i="7"/>
  <c r="C57" i="7"/>
  <c r="B57" i="7"/>
  <c r="A57" i="7"/>
  <c r="D56" i="7"/>
  <c r="C56" i="7"/>
  <c r="B56" i="7"/>
  <c r="A56" i="7"/>
  <c r="D55" i="7"/>
  <c r="C55" i="7"/>
  <c r="B55" i="7"/>
  <c r="A55" i="7"/>
  <c r="D54" i="7"/>
  <c r="C54" i="7"/>
  <c r="B54" i="7"/>
  <c r="A54" i="7"/>
  <c r="D53" i="7"/>
  <c r="C53" i="7"/>
  <c r="B53" i="7"/>
  <c r="A53" i="7"/>
  <c r="D52" i="7"/>
  <c r="C52" i="7"/>
  <c r="B52" i="7"/>
  <c r="A52" i="7"/>
  <c r="D51" i="7"/>
  <c r="C51" i="7"/>
  <c r="B51" i="7"/>
  <c r="A51" i="7"/>
  <c r="D50" i="7"/>
  <c r="C50" i="7"/>
  <c r="B50" i="7"/>
  <c r="A50" i="7"/>
  <c r="D49" i="7"/>
  <c r="C49" i="7"/>
  <c r="B49" i="7"/>
  <c r="A49" i="7"/>
  <c r="D48" i="7"/>
  <c r="C48" i="7"/>
  <c r="B48" i="7"/>
  <c r="A48" i="7"/>
  <c r="D47" i="7"/>
  <c r="C47" i="7"/>
  <c r="B47" i="7"/>
  <c r="A47" i="7"/>
  <c r="D46" i="7"/>
  <c r="C46" i="7"/>
  <c r="B46" i="7"/>
  <c r="A46" i="7"/>
  <c r="D45" i="7"/>
  <c r="C45" i="7"/>
  <c r="B45" i="7"/>
  <c r="A45" i="7"/>
  <c r="D44" i="7"/>
  <c r="C44" i="7"/>
  <c r="B44" i="7"/>
  <c r="A44" i="7"/>
  <c r="D43" i="7"/>
  <c r="C43" i="7"/>
  <c r="B43" i="7"/>
  <c r="A43" i="7"/>
  <c r="D42" i="7"/>
  <c r="C42" i="7"/>
  <c r="B42" i="7"/>
  <c r="A42" i="7"/>
  <c r="D41" i="7"/>
  <c r="C41" i="7"/>
  <c r="B41" i="7"/>
  <c r="A41" i="7"/>
  <c r="D40" i="7"/>
  <c r="C40" i="7"/>
  <c r="B40" i="7"/>
  <c r="A40" i="7"/>
  <c r="D39" i="7"/>
  <c r="C39" i="7"/>
  <c r="B39" i="7"/>
  <c r="A39" i="7"/>
  <c r="D38" i="7"/>
  <c r="C38" i="7"/>
  <c r="B38" i="7"/>
  <c r="A38" i="7"/>
  <c r="D37" i="7"/>
  <c r="C37" i="7"/>
  <c r="B37" i="7"/>
  <c r="A37" i="7"/>
  <c r="D36" i="7"/>
  <c r="C36" i="7"/>
  <c r="B36" i="7"/>
  <c r="A36" i="7"/>
  <c r="D35" i="7"/>
  <c r="C35" i="7"/>
  <c r="B35" i="7"/>
  <c r="A35" i="7"/>
  <c r="D34" i="7"/>
  <c r="C34" i="7"/>
  <c r="B34" i="7"/>
  <c r="A34" i="7"/>
  <c r="D33" i="7"/>
  <c r="C33" i="7"/>
  <c r="B33" i="7"/>
  <c r="A33" i="7"/>
  <c r="D32" i="7"/>
  <c r="C32" i="7"/>
  <c r="B32" i="7"/>
  <c r="A32" i="7"/>
  <c r="D31" i="7"/>
  <c r="C31" i="7"/>
  <c r="B31" i="7"/>
  <c r="A31" i="7"/>
  <c r="D30" i="7"/>
  <c r="C30" i="7"/>
  <c r="B30" i="7"/>
  <c r="A30" i="7"/>
  <c r="D29" i="7"/>
  <c r="C29" i="7"/>
  <c r="B29" i="7"/>
  <c r="A29" i="7"/>
  <c r="D28" i="7"/>
  <c r="C28" i="7"/>
  <c r="B28" i="7"/>
  <c r="A28" i="7"/>
  <c r="D27" i="7"/>
  <c r="C27" i="7"/>
  <c r="B27" i="7"/>
  <c r="A27" i="7"/>
  <c r="D26" i="7"/>
  <c r="C26" i="7"/>
  <c r="B26" i="7"/>
  <c r="A26" i="7"/>
  <c r="D25" i="7"/>
  <c r="C25" i="7"/>
  <c r="B25" i="7"/>
  <c r="A25" i="7"/>
  <c r="D24" i="7"/>
  <c r="C24" i="7"/>
  <c r="B24" i="7"/>
  <c r="A24" i="7"/>
  <c r="D23" i="7"/>
  <c r="C23" i="7"/>
  <c r="B23" i="7"/>
  <c r="A23" i="7"/>
  <c r="D22" i="7"/>
  <c r="C22" i="7"/>
  <c r="B22" i="7"/>
  <c r="A22" i="7"/>
  <c r="D21" i="7"/>
  <c r="C21" i="7"/>
  <c r="B21" i="7"/>
  <c r="A21" i="7"/>
  <c r="D20" i="7"/>
  <c r="C20" i="7"/>
  <c r="B20" i="7"/>
  <c r="A20" i="7"/>
  <c r="D19" i="7"/>
  <c r="C19" i="7"/>
  <c r="B19" i="7"/>
  <c r="A19" i="7"/>
  <c r="D18" i="7"/>
  <c r="C18" i="7"/>
  <c r="B18" i="7"/>
  <c r="A18" i="7"/>
  <c r="D17" i="7"/>
  <c r="C17" i="7"/>
  <c r="B17" i="7"/>
  <c r="A17" i="7"/>
  <c r="D16" i="7"/>
  <c r="C16" i="7"/>
  <c r="B16" i="7"/>
  <c r="A16" i="7"/>
  <c r="D15" i="7"/>
  <c r="C15" i="7"/>
  <c r="B15" i="7"/>
  <c r="A15" i="7"/>
  <c r="D14" i="7"/>
  <c r="C14" i="7"/>
  <c r="B14" i="7"/>
  <c r="A14" i="7"/>
  <c r="D13" i="7"/>
  <c r="C13" i="7"/>
  <c r="B13" i="7"/>
  <c r="A13" i="7"/>
  <c r="D12" i="7"/>
  <c r="C12" i="7"/>
  <c r="B12" i="7"/>
  <c r="A12" i="7"/>
  <c r="D11" i="7"/>
  <c r="C11" i="7"/>
  <c r="B11" i="7"/>
  <c r="A11" i="7"/>
  <c r="D10" i="7"/>
  <c r="C10" i="7"/>
  <c r="B10" i="7"/>
  <c r="A10" i="7"/>
  <c r="D9" i="7"/>
  <c r="C9" i="7"/>
  <c r="B9" i="7"/>
  <c r="A9" i="7"/>
  <c r="D8" i="7"/>
  <c r="C8" i="7"/>
  <c r="B8" i="7"/>
  <c r="A8" i="7"/>
  <c r="D7" i="7"/>
  <c r="C7" i="7"/>
  <c r="B7" i="7"/>
  <c r="A7" i="7"/>
  <c r="D6" i="7"/>
  <c r="C6" i="7"/>
  <c r="B6" i="7"/>
  <c r="A6" i="7"/>
  <c r="D5" i="7"/>
  <c r="C5" i="7"/>
  <c r="B5" i="7"/>
  <c r="A5" i="7"/>
  <c r="D4" i="7"/>
  <c r="C4" i="7"/>
  <c r="B4" i="7"/>
  <c r="A4" i="7"/>
  <c r="D3" i="7"/>
  <c r="C3" i="7"/>
  <c r="B3" i="7"/>
  <c r="A3" i="7"/>
  <c r="D2" i="7"/>
  <c r="C2" i="7"/>
  <c r="B2" i="7"/>
  <c r="A2" i="7"/>
  <c r="C195" i="6"/>
  <c r="B195" i="6"/>
  <c r="A195" i="6"/>
  <c r="C194" i="6"/>
  <c r="B194" i="6"/>
  <c r="D194" i="6" s="1"/>
  <c r="A194" i="6"/>
  <c r="C193" i="6"/>
  <c r="B193" i="6"/>
  <c r="D193" i="6" s="1"/>
  <c r="A193" i="6"/>
  <c r="C192" i="6"/>
  <c r="B192" i="6"/>
  <c r="D192" i="6" s="1"/>
  <c r="A192" i="6"/>
  <c r="C191" i="6"/>
  <c r="B191" i="6"/>
  <c r="D191" i="6" s="1"/>
  <c r="A191" i="6"/>
  <c r="C190" i="6"/>
  <c r="B190" i="6"/>
  <c r="D190" i="6" s="1"/>
  <c r="A190" i="6"/>
  <c r="C189" i="6"/>
  <c r="B189" i="6"/>
  <c r="D189" i="6" s="1"/>
  <c r="A189" i="6"/>
  <c r="C188" i="6"/>
  <c r="B188" i="6"/>
  <c r="D188" i="6" s="1"/>
  <c r="A188" i="6"/>
  <c r="C187" i="6"/>
  <c r="B187" i="6"/>
  <c r="D187" i="6" s="1"/>
  <c r="A187" i="6"/>
  <c r="C186" i="6"/>
  <c r="B186" i="6"/>
  <c r="D186" i="6" s="1"/>
  <c r="A186" i="6"/>
  <c r="C185" i="6"/>
  <c r="B185" i="6"/>
  <c r="A185" i="6"/>
  <c r="C184" i="6"/>
  <c r="B184" i="6"/>
  <c r="A184" i="6"/>
  <c r="C183" i="6"/>
  <c r="B183" i="6"/>
  <c r="A183" i="6"/>
  <c r="C182" i="6"/>
  <c r="B182" i="6"/>
  <c r="A182" i="6"/>
  <c r="C181" i="6"/>
  <c r="B181" i="6"/>
  <c r="A181" i="6"/>
  <c r="C180" i="6"/>
  <c r="B180" i="6"/>
  <c r="A180" i="6"/>
  <c r="C179" i="6"/>
  <c r="B179" i="6"/>
  <c r="A179" i="6"/>
  <c r="C178" i="6"/>
  <c r="B178" i="6"/>
  <c r="A178" i="6"/>
  <c r="C177" i="6"/>
  <c r="B177" i="6"/>
  <c r="A177" i="6"/>
  <c r="C176" i="6"/>
  <c r="B176" i="6"/>
  <c r="D176" i="6" s="1"/>
  <c r="A176" i="6"/>
  <c r="C175" i="6"/>
  <c r="B175" i="6"/>
  <c r="A175" i="6"/>
  <c r="C174" i="6"/>
  <c r="B174" i="6"/>
  <c r="A174" i="6"/>
  <c r="C173" i="6"/>
  <c r="B173" i="6"/>
  <c r="A173" i="6"/>
  <c r="C172" i="6"/>
  <c r="B172" i="6"/>
  <c r="A172" i="6"/>
  <c r="C171" i="6"/>
  <c r="B171" i="6"/>
  <c r="D171" i="6" s="1"/>
  <c r="A171" i="6"/>
  <c r="C170" i="6"/>
  <c r="B170" i="6"/>
  <c r="D170" i="6" s="1"/>
  <c r="A170" i="6"/>
  <c r="C169" i="6"/>
  <c r="B169" i="6"/>
  <c r="A169" i="6"/>
  <c r="C168" i="6"/>
  <c r="B168" i="6"/>
  <c r="A168" i="6"/>
  <c r="C167" i="6"/>
  <c r="B167" i="6"/>
  <c r="A167" i="6"/>
  <c r="C166" i="6"/>
  <c r="B166" i="6"/>
  <c r="A166" i="6"/>
  <c r="C165" i="6"/>
  <c r="B165" i="6"/>
  <c r="A165" i="6"/>
  <c r="C164" i="6"/>
  <c r="B164" i="6"/>
  <c r="A164" i="6"/>
  <c r="C163" i="6"/>
  <c r="B163" i="6"/>
  <c r="A163" i="6"/>
  <c r="C162" i="6"/>
  <c r="B162" i="6"/>
  <c r="A162" i="6"/>
  <c r="C161" i="6"/>
  <c r="B161" i="6"/>
  <c r="D161" i="6" s="1"/>
  <c r="A161" i="6"/>
  <c r="C160" i="6"/>
  <c r="B160" i="6"/>
  <c r="A160" i="6"/>
  <c r="C159" i="6"/>
  <c r="B159" i="6"/>
  <c r="A159" i="6"/>
  <c r="C158" i="6"/>
  <c r="B158" i="6"/>
  <c r="A158" i="6"/>
  <c r="C157" i="6"/>
  <c r="B157" i="6"/>
  <c r="D157" i="6" s="1"/>
  <c r="A157" i="6"/>
  <c r="C156" i="6"/>
  <c r="B156" i="6"/>
  <c r="A156" i="6"/>
  <c r="C155" i="6"/>
  <c r="B155" i="6"/>
  <c r="A155" i="6"/>
  <c r="C154" i="6"/>
  <c r="B154" i="6"/>
  <c r="A154" i="6"/>
  <c r="C153" i="6"/>
  <c r="B153" i="6"/>
  <c r="D153" i="6" s="1"/>
  <c r="A153" i="6"/>
  <c r="C152" i="6"/>
  <c r="B152" i="6"/>
  <c r="D152" i="6" s="1"/>
  <c r="A152" i="6"/>
  <c r="C151" i="6"/>
  <c r="B151" i="6"/>
  <c r="A151" i="6"/>
  <c r="C150" i="6"/>
  <c r="B150" i="6"/>
  <c r="A150" i="6"/>
  <c r="C149" i="6"/>
  <c r="B149" i="6"/>
  <c r="D149" i="6" s="1"/>
  <c r="A149" i="6"/>
  <c r="C148" i="6"/>
  <c r="B148" i="6"/>
  <c r="D148" i="6" s="1"/>
  <c r="A148" i="6"/>
  <c r="C147" i="6"/>
  <c r="B147" i="6"/>
  <c r="A147" i="6"/>
  <c r="C146" i="6"/>
  <c r="B146" i="6"/>
  <c r="A146" i="6"/>
  <c r="C145" i="6"/>
  <c r="B145" i="6"/>
  <c r="A145" i="6"/>
  <c r="C144" i="6"/>
  <c r="B144" i="6"/>
  <c r="A144" i="6"/>
  <c r="C143" i="6"/>
  <c r="B143" i="6"/>
  <c r="A143" i="6"/>
  <c r="C142" i="6"/>
  <c r="B142" i="6"/>
  <c r="A142" i="6"/>
  <c r="C141" i="6"/>
  <c r="B141" i="6"/>
  <c r="D141" i="6" s="1"/>
  <c r="A141" i="6"/>
  <c r="C140" i="6"/>
  <c r="B140" i="6"/>
  <c r="D140" i="6" s="1"/>
  <c r="A140" i="6"/>
  <c r="C139" i="6"/>
  <c r="B139" i="6"/>
  <c r="D139" i="6" s="1"/>
  <c r="A139" i="6"/>
  <c r="C138" i="6"/>
  <c r="B138" i="6"/>
  <c r="D138" i="6" s="1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D133" i="6" s="1"/>
  <c r="A133" i="6"/>
  <c r="C132" i="6"/>
  <c r="B132" i="6"/>
  <c r="A132" i="6"/>
  <c r="C131" i="6"/>
  <c r="B131" i="6"/>
  <c r="A131" i="6"/>
  <c r="C130" i="6"/>
  <c r="B130" i="6"/>
  <c r="D130" i="6" s="1"/>
  <c r="A130" i="6"/>
  <c r="C129" i="6"/>
  <c r="B129" i="6"/>
  <c r="A129" i="6"/>
  <c r="C128" i="6"/>
  <c r="B128" i="6"/>
  <c r="D128" i="6" s="1"/>
  <c r="A128" i="6"/>
  <c r="C127" i="6"/>
  <c r="B127" i="6"/>
  <c r="A127" i="6"/>
  <c r="C126" i="6"/>
  <c r="B126" i="6"/>
  <c r="A126" i="6"/>
  <c r="C125" i="6"/>
  <c r="B125" i="6"/>
  <c r="A125" i="6"/>
  <c r="C124" i="6"/>
  <c r="B124" i="6"/>
  <c r="A124" i="6"/>
  <c r="C123" i="6"/>
  <c r="B123" i="6"/>
  <c r="A123" i="6"/>
  <c r="C122" i="6"/>
  <c r="B122" i="6"/>
  <c r="D122" i="6" s="1"/>
  <c r="A122" i="6"/>
  <c r="C121" i="6"/>
  <c r="B121" i="6"/>
  <c r="A121" i="6"/>
  <c r="C120" i="6"/>
  <c r="B120" i="6"/>
  <c r="D120" i="6" s="1"/>
  <c r="A120" i="6"/>
  <c r="C119" i="6"/>
  <c r="B119" i="6"/>
  <c r="A119" i="6"/>
  <c r="C118" i="6"/>
  <c r="B118" i="6"/>
  <c r="D118" i="6" s="1"/>
  <c r="A118" i="6"/>
  <c r="C117" i="6"/>
  <c r="B117" i="6"/>
  <c r="A117" i="6"/>
  <c r="C116" i="6"/>
  <c r="B116" i="6"/>
  <c r="D116" i="6" s="1"/>
  <c r="A116" i="6"/>
  <c r="C115" i="6"/>
  <c r="B115" i="6"/>
  <c r="D115" i="6" s="1"/>
  <c r="A115" i="6"/>
  <c r="C114" i="6"/>
  <c r="B114" i="6"/>
  <c r="D114" i="6" s="1"/>
  <c r="A114" i="6"/>
  <c r="C113" i="6"/>
  <c r="B113" i="6"/>
  <c r="A113" i="6"/>
  <c r="C112" i="6"/>
  <c r="B112" i="6"/>
  <c r="A112" i="6"/>
  <c r="C111" i="6"/>
  <c r="B111" i="6"/>
  <c r="A111" i="6"/>
  <c r="C110" i="6"/>
  <c r="B110" i="6"/>
  <c r="A110" i="6"/>
  <c r="C109" i="6"/>
  <c r="B109" i="6"/>
  <c r="D109" i="6" s="1"/>
  <c r="A109" i="6"/>
  <c r="C108" i="6"/>
  <c r="B108" i="6"/>
  <c r="A108" i="6"/>
  <c r="C107" i="6"/>
  <c r="B107" i="6"/>
  <c r="D107" i="6" s="1"/>
  <c r="A107" i="6"/>
  <c r="C106" i="6"/>
  <c r="B106" i="6"/>
  <c r="D106" i="6" s="1"/>
  <c r="A106" i="6"/>
  <c r="C105" i="6"/>
  <c r="B105" i="6"/>
  <c r="A105" i="6"/>
  <c r="C104" i="6"/>
  <c r="B104" i="6"/>
  <c r="D104" i="6" s="1"/>
  <c r="A104" i="6"/>
  <c r="C103" i="6"/>
  <c r="B103" i="6"/>
  <c r="A103" i="6"/>
  <c r="C102" i="6"/>
  <c r="B102" i="6"/>
  <c r="D102" i="6" s="1"/>
  <c r="A102" i="6"/>
  <c r="C101" i="6"/>
  <c r="B101" i="6"/>
  <c r="A101" i="6"/>
  <c r="C100" i="6"/>
  <c r="B100" i="6"/>
  <c r="D100" i="6" s="1"/>
  <c r="A100" i="6"/>
  <c r="C99" i="6"/>
  <c r="B99" i="6"/>
  <c r="A99" i="6"/>
  <c r="C98" i="6"/>
  <c r="B98" i="6"/>
  <c r="A98" i="6"/>
  <c r="C97" i="6"/>
  <c r="B97" i="6"/>
  <c r="D97" i="6" s="1"/>
  <c r="A97" i="6"/>
  <c r="C96" i="6"/>
  <c r="B96" i="6"/>
  <c r="D96" i="6" s="1"/>
  <c r="A96" i="6"/>
  <c r="C95" i="6"/>
  <c r="B95" i="6"/>
  <c r="A95" i="6"/>
  <c r="C94" i="6"/>
  <c r="B94" i="6"/>
  <c r="D94" i="6" s="1"/>
  <c r="A94" i="6"/>
  <c r="C93" i="6"/>
  <c r="B93" i="6"/>
  <c r="D93" i="6" s="1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D88" i="6" s="1"/>
  <c r="A88" i="6"/>
  <c r="C87" i="6"/>
  <c r="B87" i="6"/>
  <c r="A87" i="6"/>
  <c r="C86" i="6"/>
  <c r="B86" i="6"/>
  <c r="D86" i="6" s="1"/>
  <c r="A86" i="6"/>
  <c r="C85" i="6"/>
  <c r="B85" i="6"/>
  <c r="D85" i="6" s="1"/>
  <c r="A85" i="6"/>
  <c r="C84" i="6"/>
  <c r="B84" i="6"/>
  <c r="A84" i="6"/>
  <c r="C83" i="6"/>
  <c r="B83" i="6"/>
  <c r="A83" i="6"/>
  <c r="C82" i="6"/>
  <c r="B82" i="6"/>
  <c r="A82" i="6"/>
  <c r="C81" i="6"/>
  <c r="B81" i="6"/>
  <c r="D81" i="6" s="1"/>
  <c r="A81" i="6"/>
  <c r="C80" i="6"/>
  <c r="B80" i="6"/>
  <c r="D80" i="6" s="1"/>
  <c r="A80" i="6"/>
  <c r="C79" i="6"/>
  <c r="B79" i="6"/>
  <c r="A79" i="6"/>
  <c r="C78" i="6"/>
  <c r="B78" i="6"/>
  <c r="A78" i="6"/>
  <c r="C77" i="6"/>
  <c r="B77" i="6"/>
  <c r="D77" i="6" s="1"/>
  <c r="A77" i="6"/>
  <c r="C76" i="6"/>
  <c r="B76" i="6"/>
  <c r="A76" i="6"/>
  <c r="C75" i="6"/>
  <c r="B75" i="6"/>
  <c r="D75" i="6" s="1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D62" i="6" s="1"/>
  <c r="A62" i="6"/>
  <c r="C61" i="6"/>
  <c r="B61" i="6"/>
  <c r="D61" i="6" s="1"/>
  <c r="A61" i="6"/>
  <c r="C60" i="6"/>
  <c r="B60" i="6"/>
  <c r="D60" i="6" s="1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D53" i="6" s="1"/>
  <c r="A53" i="6"/>
  <c r="C52" i="6"/>
  <c r="B52" i="6"/>
  <c r="D52" i="6" s="1"/>
  <c r="A52" i="6"/>
  <c r="C51" i="6"/>
  <c r="B51" i="6"/>
  <c r="A51" i="6"/>
  <c r="C50" i="6"/>
  <c r="B50" i="6"/>
  <c r="A50" i="6"/>
  <c r="C49" i="6"/>
  <c r="B49" i="6"/>
  <c r="D49" i="6" s="1"/>
  <c r="A49" i="6"/>
  <c r="C48" i="6"/>
  <c r="B48" i="6"/>
  <c r="D48" i="6" s="1"/>
  <c r="A48" i="6"/>
  <c r="C47" i="6"/>
  <c r="B47" i="6"/>
  <c r="D47" i="6" s="1"/>
  <c r="A47" i="6"/>
  <c r="C46" i="6"/>
  <c r="B46" i="6"/>
  <c r="A46" i="6"/>
  <c r="C45" i="6"/>
  <c r="B45" i="6"/>
  <c r="A45" i="6"/>
  <c r="C44" i="6"/>
  <c r="B44" i="6"/>
  <c r="D44" i="6" s="1"/>
  <c r="A44" i="6"/>
  <c r="C43" i="6"/>
  <c r="B43" i="6"/>
  <c r="D43" i="6" s="1"/>
  <c r="A43" i="6"/>
  <c r="C42" i="6"/>
  <c r="B42" i="6"/>
  <c r="A42" i="6"/>
  <c r="C41" i="6"/>
  <c r="B41" i="6"/>
  <c r="A41" i="6"/>
  <c r="C40" i="6"/>
  <c r="B40" i="6"/>
  <c r="D40" i="6" s="1"/>
  <c r="A40" i="6"/>
  <c r="C39" i="6"/>
  <c r="B39" i="6"/>
  <c r="D39" i="6" s="1"/>
  <c r="A39" i="6"/>
  <c r="C38" i="6"/>
  <c r="B38" i="6"/>
  <c r="A38" i="6"/>
  <c r="C37" i="6"/>
  <c r="B37" i="6"/>
  <c r="D37" i="6" s="1"/>
  <c r="A37" i="6"/>
  <c r="C36" i="6"/>
  <c r="B36" i="6"/>
  <c r="D36" i="6" s="1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D31" i="6" s="1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D24" i="6" s="1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D12" i="6" s="1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C5" i="6"/>
  <c r="B5" i="6"/>
  <c r="A5" i="6"/>
  <c r="C4" i="6"/>
  <c r="B4" i="6"/>
  <c r="D4" i="6" s="1"/>
  <c r="A4" i="6"/>
  <c r="C3" i="6"/>
  <c r="B3" i="6"/>
  <c r="A3" i="6"/>
  <c r="C2" i="6"/>
  <c r="B2" i="6"/>
  <c r="A2" i="6"/>
  <c r="C195" i="5"/>
  <c r="B195" i="5"/>
  <c r="A195" i="5"/>
  <c r="C194" i="5"/>
  <c r="B194" i="5"/>
  <c r="A194" i="5"/>
  <c r="C193" i="5"/>
  <c r="B193" i="5"/>
  <c r="A193" i="5"/>
  <c r="C192" i="5"/>
  <c r="B192" i="5"/>
  <c r="A192" i="5"/>
  <c r="C191" i="5"/>
  <c r="B191" i="5"/>
  <c r="A191" i="5"/>
  <c r="C190" i="5"/>
  <c r="B190" i="5"/>
  <c r="A190" i="5"/>
  <c r="C189" i="5"/>
  <c r="B189" i="5"/>
  <c r="A189" i="5"/>
  <c r="C188" i="5"/>
  <c r="B188" i="5"/>
  <c r="A188" i="5"/>
  <c r="C187" i="5"/>
  <c r="B187" i="5"/>
  <c r="A187" i="5"/>
  <c r="C186" i="5"/>
  <c r="B186" i="5"/>
  <c r="A186" i="5"/>
  <c r="C185" i="5"/>
  <c r="B185" i="5"/>
  <c r="A185" i="5"/>
  <c r="C184" i="5"/>
  <c r="B184" i="5"/>
  <c r="A184" i="5"/>
  <c r="C183" i="5"/>
  <c r="B183" i="5"/>
  <c r="A183" i="5"/>
  <c r="C182" i="5"/>
  <c r="B182" i="5"/>
  <c r="A182" i="5"/>
  <c r="C181" i="5"/>
  <c r="B181" i="5"/>
  <c r="A181" i="5"/>
  <c r="C180" i="5"/>
  <c r="B180" i="5"/>
  <c r="A180" i="5"/>
  <c r="C179" i="5"/>
  <c r="B179" i="5"/>
  <c r="A179" i="5"/>
  <c r="C178" i="5"/>
  <c r="B178" i="5"/>
  <c r="A178" i="5"/>
  <c r="C177" i="5"/>
  <c r="B177" i="5"/>
  <c r="A177" i="5"/>
  <c r="C176" i="5"/>
  <c r="B176" i="5"/>
  <c r="A176" i="5"/>
  <c r="C175" i="5"/>
  <c r="B175" i="5"/>
  <c r="A175" i="5"/>
  <c r="C174" i="5"/>
  <c r="B174" i="5"/>
  <c r="A174" i="5"/>
  <c r="C173" i="5"/>
  <c r="B173" i="5"/>
  <c r="A173" i="5"/>
  <c r="C172" i="5"/>
  <c r="B172" i="5"/>
  <c r="A172" i="5"/>
  <c r="C171" i="5"/>
  <c r="B171" i="5"/>
  <c r="A171" i="5"/>
  <c r="C170" i="5"/>
  <c r="B170" i="5"/>
  <c r="A170" i="5"/>
  <c r="C169" i="5"/>
  <c r="B169" i="5"/>
  <c r="A169" i="5"/>
  <c r="C168" i="5"/>
  <c r="B168" i="5"/>
  <c r="A168" i="5"/>
  <c r="C167" i="5"/>
  <c r="B167" i="5"/>
  <c r="A167" i="5"/>
  <c r="C166" i="5"/>
  <c r="B166" i="5"/>
  <c r="A166" i="5"/>
  <c r="C165" i="5"/>
  <c r="B165" i="5"/>
  <c r="A165" i="5"/>
  <c r="C164" i="5"/>
  <c r="B164" i="5"/>
  <c r="A164" i="5"/>
  <c r="C163" i="5"/>
  <c r="B163" i="5"/>
  <c r="A163" i="5"/>
  <c r="C162" i="5"/>
  <c r="B162" i="5"/>
  <c r="A162" i="5"/>
  <c r="C161" i="5"/>
  <c r="B161" i="5"/>
  <c r="A161" i="5"/>
  <c r="C160" i="5"/>
  <c r="B160" i="5"/>
  <c r="A160" i="5"/>
  <c r="C159" i="5"/>
  <c r="B159" i="5"/>
  <c r="A159" i="5"/>
  <c r="C158" i="5"/>
  <c r="B158" i="5"/>
  <c r="A158" i="5"/>
  <c r="C157" i="5"/>
  <c r="B157" i="5"/>
  <c r="A157" i="5"/>
  <c r="C156" i="5"/>
  <c r="B156" i="5"/>
  <c r="A156" i="5"/>
  <c r="C155" i="5"/>
  <c r="B155" i="5"/>
  <c r="A155" i="5"/>
  <c r="C154" i="5"/>
  <c r="B154" i="5"/>
  <c r="A154" i="5"/>
  <c r="C153" i="5"/>
  <c r="B153" i="5"/>
  <c r="A153" i="5"/>
  <c r="C152" i="5"/>
  <c r="B152" i="5"/>
  <c r="A152" i="5"/>
  <c r="C151" i="5"/>
  <c r="B151" i="5"/>
  <c r="A151" i="5"/>
  <c r="C150" i="5"/>
  <c r="B150" i="5"/>
  <c r="A150" i="5"/>
  <c r="C149" i="5"/>
  <c r="B149" i="5"/>
  <c r="A149" i="5"/>
  <c r="C148" i="5"/>
  <c r="B148" i="5"/>
  <c r="A148" i="5"/>
  <c r="C147" i="5"/>
  <c r="B147" i="5"/>
  <c r="A147" i="5"/>
  <c r="C146" i="5"/>
  <c r="B146" i="5"/>
  <c r="A146" i="5"/>
  <c r="C145" i="5"/>
  <c r="B145" i="5"/>
  <c r="A145" i="5"/>
  <c r="C144" i="5"/>
  <c r="B144" i="5"/>
  <c r="A144" i="5"/>
  <c r="C143" i="5"/>
  <c r="B143" i="5"/>
  <c r="A143" i="5"/>
  <c r="C142" i="5"/>
  <c r="B142" i="5"/>
  <c r="A142" i="5"/>
  <c r="C141" i="5"/>
  <c r="B141" i="5"/>
  <c r="A141" i="5"/>
  <c r="C140" i="5"/>
  <c r="B140" i="5"/>
  <c r="A140" i="5"/>
  <c r="C139" i="5"/>
  <c r="B139" i="5"/>
  <c r="A139" i="5"/>
  <c r="C138" i="5"/>
  <c r="B138" i="5"/>
  <c r="A138" i="5"/>
  <c r="C137" i="5"/>
  <c r="B137" i="5"/>
  <c r="A137" i="5"/>
  <c r="C136" i="5"/>
  <c r="B136" i="5"/>
  <c r="A136" i="5"/>
  <c r="C135" i="5"/>
  <c r="B135" i="5"/>
  <c r="A135" i="5"/>
  <c r="C134" i="5"/>
  <c r="B134" i="5"/>
  <c r="A134" i="5"/>
  <c r="C133" i="5"/>
  <c r="B133" i="5"/>
  <c r="A133" i="5"/>
  <c r="C132" i="5"/>
  <c r="B132" i="5"/>
  <c r="A132" i="5"/>
  <c r="C131" i="5"/>
  <c r="B131" i="5"/>
  <c r="A131" i="5"/>
  <c r="C130" i="5"/>
  <c r="B130" i="5"/>
  <c r="A130" i="5"/>
  <c r="C129" i="5"/>
  <c r="B129" i="5"/>
  <c r="A129" i="5"/>
  <c r="C128" i="5"/>
  <c r="B128" i="5"/>
  <c r="A128" i="5"/>
  <c r="C127" i="5"/>
  <c r="B127" i="5"/>
  <c r="A127" i="5"/>
  <c r="C126" i="5"/>
  <c r="B126" i="5"/>
  <c r="A126" i="5"/>
  <c r="C125" i="5"/>
  <c r="B125" i="5"/>
  <c r="A125" i="5"/>
  <c r="C124" i="5"/>
  <c r="B124" i="5"/>
  <c r="A124" i="5"/>
  <c r="C123" i="5"/>
  <c r="B123" i="5"/>
  <c r="A123" i="5"/>
  <c r="C122" i="5"/>
  <c r="B122" i="5"/>
  <c r="A122" i="5"/>
  <c r="C121" i="5"/>
  <c r="B121" i="5"/>
  <c r="A121" i="5"/>
  <c r="C120" i="5"/>
  <c r="B120" i="5"/>
  <c r="A120" i="5"/>
  <c r="C119" i="5"/>
  <c r="B119" i="5"/>
  <c r="A119" i="5"/>
  <c r="C118" i="5"/>
  <c r="B118" i="5"/>
  <c r="A118" i="5"/>
  <c r="C117" i="5"/>
  <c r="B117" i="5"/>
  <c r="A117" i="5"/>
  <c r="C116" i="5"/>
  <c r="B116" i="5"/>
  <c r="A116" i="5"/>
  <c r="C115" i="5"/>
  <c r="B115" i="5"/>
  <c r="A115" i="5"/>
  <c r="C114" i="5"/>
  <c r="B114" i="5"/>
  <c r="A114" i="5"/>
  <c r="C113" i="5"/>
  <c r="B113" i="5"/>
  <c r="A113" i="5"/>
  <c r="C112" i="5"/>
  <c r="B112" i="5"/>
  <c r="A112" i="5"/>
  <c r="C111" i="5"/>
  <c r="B111" i="5"/>
  <c r="A111" i="5"/>
  <c r="C110" i="5"/>
  <c r="B110" i="5"/>
  <c r="A110" i="5"/>
  <c r="C109" i="5"/>
  <c r="B109" i="5"/>
  <c r="A109" i="5"/>
  <c r="C108" i="5"/>
  <c r="B108" i="5"/>
  <c r="A108" i="5"/>
  <c r="C107" i="5"/>
  <c r="B107" i="5"/>
  <c r="A107" i="5"/>
  <c r="C106" i="5"/>
  <c r="B106" i="5"/>
  <c r="A106" i="5"/>
  <c r="C105" i="5"/>
  <c r="B105" i="5"/>
  <c r="A105" i="5"/>
  <c r="C104" i="5"/>
  <c r="B104" i="5"/>
  <c r="A104" i="5"/>
  <c r="C103" i="5"/>
  <c r="B103" i="5"/>
  <c r="A103" i="5"/>
  <c r="C102" i="5"/>
  <c r="B102" i="5"/>
  <c r="A102" i="5"/>
  <c r="C101" i="5"/>
  <c r="B101" i="5"/>
  <c r="A101" i="5"/>
  <c r="C100" i="5"/>
  <c r="B100" i="5"/>
  <c r="A100" i="5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C6" i="5"/>
  <c r="B6" i="5"/>
  <c r="A6" i="5"/>
  <c r="C5" i="5"/>
  <c r="B5" i="5"/>
  <c r="A5" i="5"/>
  <c r="C4" i="5"/>
  <c r="B4" i="5"/>
  <c r="A4" i="5"/>
  <c r="C3" i="5"/>
  <c r="B3" i="5"/>
  <c r="A3" i="5"/>
  <c r="C2" i="5"/>
  <c r="B2" i="5"/>
  <c r="A2" i="5"/>
  <c r="G13" i="4"/>
  <c r="H2" i="4"/>
  <c r="E2" i="4"/>
  <c r="B2" i="4"/>
  <c r="AH241" i="1"/>
  <c r="Z241" i="1"/>
  <c r="V241" i="1" s="1"/>
  <c r="X241" i="1"/>
  <c r="AH240" i="1"/>
  <c r="Z240" i="1"/>
  <c r="AH239" i="1"/>
  <c r="Z239" i="1"/>
  <c r="AH238" i="1"/>
  <c r="Z238" i="1"/>
  <c r="AH237" i="1"/>
  <c r="Z237" i="1"/>
  <c r="AQ236" i="1"/>
  <c r="AQ235" i="1"/>
  <c r="AQ234" i="1"/>
  <c r="AQ233" i="1"/>
  <c r="AH233" i="1"/>
  <c r="Z233" i="1"/>
  <c r="AQ232" i="1"/>
  <c r="AQ231" i="1"/>
  <c r="AQ230" i="1"/>
  <c r="AH230" i="1"/>
  <c r="Z230" i="1"/>
  <c r="X230" i="1"/>
  <c r="V230" i="1"/>
  <c r="AQ229" i="1"/>
  <c r="AH229" i="1"/>
  <c r="Z229" i="1"/>
  <c r="V229" i="1" s="1"/>
  <c r="AQ228" i="1"/>
  <c r="AH228" i="1"/>
  <c r="Z228" i="1"/>
  <c r="X228" i="1"/>
  <c r="V228" i="1"/>
  <c r="AQ227" i="1"/>
  <c r="AQ226" i="1"/>
  <c r="AQ225" i="1"/>
  <c r="AH225" i="1"/>
  <c r="Z225" i="1"/>
  <c r="X225" i="1"/>
  <c r="V225" i="1"/>
  <c r="AQ224" i="1"/>
  <c r="AH224" i="1"/>
  <c r="Z224" i="1"/>
  <c r="X224" i="1"/>
  <c r="V224" i="1"/>
  <c r="AQ223" i="1"/>
  <c r="AH223" i="1"/>
  <c r="Z223" i="1"/>
  <c r="V223" i="1" s="1"/>
  <c r="X223" i="1"/>
  <c r="AQ222" i="1"/>
  <c r="AH222" i="1"/>
  <c r="Z222" i="1"/>
  <c r="V222" i="1" s="1"/>
  <c r="X222" i="1"/>
  <c r="AQ221" i="1"/>
  <c r="AH221" i="1"/>
  <c r="Z221" i="1"/>
  <c r="V221" i="1" s="1"/>
  <c r="X221" i="1"/>
  <c r="AQ220" i="1"/>
  <c r="AH220" i="1"/>
  <c r="Z220" i="1"/>
  <c r="V220" i="1" s="1"/>
  <c r="X220" i="1"/>
  <c r="AQ219" i="1"/>
  <c r="AQ218" i="1"/>
  <c r="AH218" i="1"/>
  <c r="Z218" i="1"/>
  <c r="V218" i="1" s="1"/>
  <c r="X218" i="1"/>
  <c r="AQ217" i="1"/>
  <c r="AH217" i="1"/>
  <c r="Z217" i="1"/>
  <c r="X217" i="1"/>
  <c r="V217" i="1"/>
  <c r="AQ216" i="1"/>
  <c r="AH216" i="1"/>
  <c r="Z216" i="1"/>
  <c r="V216" i="1" s="1"/>
  <c r="X216" i="1"/>
  <c r="AQ215" i="1"/>
  <c r="AQ214" i="1"/>
  <c r="AQ213" i="1"/>
  <c r="AH213" i="1"/>
  <c r="Z213" i="1"/>
  <c r="X213" i="1"/>
  <c r="V213" i="1"/>
  <c r="AQ212" i="1"/>
  <c r="AQ211" i="1"/>
  <c r="AQ210" i="1"/>
  <c r="AQ209" i="1"/>
  <c r="AH209" i="1"/>
  <c r="Z209" i="1"/>
  <c r="V209" i="1" s="1"/>
  <c r="AQ208" i="1"/>
  <c r="AH208" i="1"/>
  <c r="Z208" i="1"/>
  <c r="X208" i="1"/>
  <c r="V208" i="1"/>
  <c r="AQ207" i="1"/>
  <c r="AH207" i="1"/>
  <c r="Z207" i="1"/>
  <c r="V207" i="1" s="1"/>
  <c r="X207" i="1"/>
  <c r="AQ206" i="1"/>
  <c r="AH206" i="1"/>
  <c r="Z206" i="1"/>
  <c r="V206" i="1" s="1"/>
  <c r="X206" i="1"/>
  <c r="AQ205" i="1"/>
  <c r="AH205" i="1"/>
  <c r="Z205" i="1"/>
  <c r="V205" i="1" s="1"/>
  <c r="X205" i="1"/>
  <c r="AQ204" i="1"/>
  <c r="AH204" i="1"/>
  <c r="Z204" i="1"/>
  <c r="V204" i="1" s="1"/>
  <c r="X204" i="1"/>
  <c r="AQ203" i="1"/>
  <c r="AQ202" i="1"/>
  <c r="AH202" i="1"/>
  <c r="Z202" i="1"/>
  <c r="V202" i="1" s="1"/>
  <c r="X202" i="1"/>
  <c r="AQ201" i="1"/>
  <c r="AH201" i="1"/>
  <c r="Z201" i="1"/>
  <c r="V201" i="1" s="1"/>
  <c r="X201" i="1"/>
  <c r="AQ200" i="1"/>
  <c r="AQ199" i="1"/>
  <c r="AH199" i="1"/>
  <c r="Z199" i="1"/>
  <c r="V199" i="1" s="1"/>
  <c r="X199" i="1"/>
  <c r="AQ198" i="1"/>
  <c r="AH198" i="1"/>
  <c r="Z198" i="1"/>
  <c r="V198" i="1" s="1"/>
  <c r="X198" i="1"/>
  <c r="AQ197" i="1"/>
  <c r="AH197" i="1"/>
  <c r="Z197" i="1"/>
  <c r="V197" i="1" s="1"/>
  <c r="X197" i="1"/>
  <c r="AQ196" i="1"/>
  <c r="AQ195" i="1"/>
  <c r="AQ194" i="1"/>
  <c r="AH194" i="1"/>
  <c r="Z194" i="1"/>
  <c r="V194" i="1" s="1"/>
  <c r="AQ193" i="1"/>
  <c r="AH193" i="1"/>
  <c r="Z193" i="1"/>
  <c r="V193" i="1" s="1"/>
  <c r="X193" i="1"/>
  <c r="AQ192" i="1"/>
  <c r="AH192" i="1"/>
  <c r="Z192" i="1"/>
  <c r="V192" i="1" s="1"/>
  <c r="X192" i="1"/>
  <c r="AQ191" i="1"/>
  <c r="AQ190" i="1"/>
  <c r="AQ189" i="1"/>
  <c r="AQ188" i="1"/>
  <c r="AH188" i="1"/>
  <c r="Z188" i="1"/>
  <c r="V188" i="1" s="1"/>
  <c r="X188" i="1"/>
  <c r="AQ187" i="1"/>
  <c r="AH187" i="1"/>
  <c r="Z187" i="1"/>
  <c r="X187" i="1"/>
  <c r="V187" i="1"/>
  <c r="AQ186" i="1"/>
  <c r="AQ185" i="1"/>
  <c r="AQ184" i="1"/>
  <c r="AH184" i="1"/>
  <c r="Z184" i="1"/>
  <c r="V184" i="1" s="1"/>
  <c r="X184" i="1"/>
  <c r="AQ183" i="1"/>
  <c r="AH183" i="1"/>
  <c r="Z183" i="1"/>
  <c r="V183" i="1" s="1"/>
  <c r="X183" i="1"/>
  <c r="AQ182" i="1"/>
  <c r="AQ181" i="1"/>
  <c r="AQ180" i="1"/>
  <c r="AH180" i="1"/>
  <c r="Z180" i="1"/>
  <c r="V180" i="1" s="1"/>
  <c r="X180" i="1"/>
  <c r="AQ179" i="1"/>
  <c r="AH179" i="1"/>
  <c r="Z179" i="1"/>
  <c r="V179" i="1" s="1"/>
  <c r="X179" i="1"/>
  <c r="AQ178" i="1"/>
  <c r="AQ177" i="1"/>
  <c r="AH177" i="1"/>
  <c r="Z177" i="1"/>
  <c r="V177" i="1" s="1"/>
  <c r="X177" i="1"/>
  <c r="AQ176" i="1"/>
  <c r="AQ175" i="1"/>
  <c r="AH175" i="1"/>
  <c r="Z175" i="1"/>
  <c r="X175" i="1"/>
  <c r="V175" i="1"/>
  <c r="AQ174" i="1"/>
  <c r="AH174" i="1"/>
  <c r="Z174" i="1"/>
  <c r="AQ173" i="1"/>
  <c r="AQ172" i="1"/>
  <c r="AH172" i="1"/>
  <c r="Z172" i="1"/>
  <c r="AQ171" i="1"/>
  <c r="AQ170" i="1"/>
  <c r="AQ169" i="1"/>
  <c r="AH169" i="1"/>
  <c r="Z169" i="1"/>
  <c r="AQ168" i="1"/>
  <c r="AH168" i="1"/>
  <c r="Z168" i="1"/>
  <c r="AQ167" i="1"/>
  <c r="AH167" i="1"/>
  <c r="Z167" i="1"/>
  <c r="X167" i="1"/>
  <c r="V167" i="1"/>
  <c r="AQ166" i="1"/>
  <c r="AH166" i="1"/>
  <c r="Z166" i="1"/>
  <c r="V166" i="1" s="1"/>
  <c r="X166" i="1"/>
  <c r="AQ165" i="1"/>
  <c r="AH165" i="1"/>
  <c r="Z165" i="1"/>
  <c r="V165" i="1" s="1"/>
  <c r="X165" i="1"/>
  <c r="AQ164" i="1"/>
  <c r="AH164" i="1"/>
  <c r="Z164" i="1"/>
  <c r="V164" i="1" s="1"/>
  <c r="X164" i="1"/>
  <c r="AQ163" i="1"/>
  <c r="AQ162" i="1"/>
  <c r="AH162" i="1"/>
  <c r="Z162" i="1"/>
  <c r="X162" i="1"/>
  <c r="V162" i="1"/>
  <c r="AQ161" i="1"/>
  <c r="AH161" i="1"/>
  <c r="Z161" i="1"/>
  <c r="V161" i="1" s="1"/>
  <c r="X161" i="1"/>
  <c r="AQ160" i="1"/>
  <c r="AQ159" i="1"/>
  <c r="AH159" i="1"/>
  <c r="Z159" i="1"/>
  <c r="V159" i="1" s="1"/>
  <c r="X159" i="1"/>
  <c r="AQ158" i="1"/>
  <c r="AQ157" i="1"/>
  <c r="AH157" i="1"/>
  <c r="Z157" i="1"/>
  <c r="AQ156" i="1"/>
  <c r="AH156" i="1"/>
  <c r="Z156" i="1"/>
  <c r="V156" i="1" s="1"/>
  <c r="X156" i="1"/>
  <c r="AQ155" i="1"/>
  <c r="AH155" i="1"/>
  <c r="Z155" i="1"/>
  <c r="V155" i="1" s="1"/>
  <c r="X155" i="1"/>
  <c r="AQ154" i="1"/>
  <c r="AH154" i="1"/>
  <c r="Z154" i="1"/>
  <c r="V154" i="1" s="1"/>
  <c r="X154" i="1"/>
  <c r="AQ153" i="1"/>
  <c r="AH153" i="1"/>
  <c r="Z153" i="1"/>
  <c r="X153" i="1"/>
  <c r="V153" i="1"/>
  <c r="AQ152" i="1"/>
  <c r="AH152" i="1"/>
  <c r="Z152" i="1"/>
  <c r="X152" i="1"/>
  <c r="V152" i="1"/>
  <c r="AQ151" i="1"/>
  <c r="AH151" i="1"/>
  <c r="Z151" i="1"/>
  <c r="AQ150" i="1"/>
  <c r="AH150" i="1"/>
  <c r="Z150" i="1"/>
  <c r="X150" i="1"/>
  <c r="V150" i="1"/>
  <c r="AQ149" i="1"/>
  <c r="AQ148" i="1"/>
  <c r="AQ147" i="1"/>
  <c r="AQ146" i="1"/>
  <c r="AH146" i="1"/>
  <c r="Z146" i="1"/>
  <c r="X146" i="1"/>
  <c r="V146" i="1"/>
  <c r="AQ145" i="1"/>
  <c r="AQ144" i="1"/>
  <c r="AQ143" i="1"/>
  <c r="AH143" i="1"/>
  <c r="Z143" i="1"/>
  <c r="X143" i="1"/>
  <c r="V143" i="1"/>
  <c r="AQ142" i="1"/>
  <c r="AQ141" i="1"/>
  <c r="AQ140" i="1"/>
  <c r="AQ139" i="1"/>
  <c r="AQ138" i="1"/>
  <c r="AH138" i="1"/>
  <c r="Z138" i="1"/>
  <c r="X138" i="1"/>
  <c r="V138" i="1"/>
  <c r="AQ137" i="1"/>
  <c r="AH137" i="1"/>
  <c r="Z137" i="1"/>
  <c r="V137" i="1" s="1"/>
  <c r="X137" i="1"/>
  <c r="AQ136" i="1"/>
  <c r="AH136" i="1"/>
  <c r="Z136" i="1"/>
  <c r="V136" i="1" s="1"/>
  <c r="X136" i="1"/>
  <c r="AQ135" i="1"/>
  <c r="AH135" i="1"/>
  <c r="Z135" i="1"/>
  <c r="V135" i="1" s="1"/>
  <c r="X135" i="1"/>
  <c r="AQ134" i="1"/>
  <c r="AQ133" i="1"/>
  <c r="AH133" i="1"/>
  <c r="Z133" i="1"/>
  <c r="V133" i="1" s="1"/>
  <c r="X133" i="1"/>
  <c r="AQ132" i="1"/>
  <c r="AQ131" i="1"/>
  <c r="AQ130" i="1"/>
  <c r="AH130" i="1"/>
  <c r="Z130" i="1"/>
  <c r="V130" i="1" s="1"/>
  <c r="X130" i="1"/>
  <c r="AQ129" i="1"/>
  <c r="AQ128" i="1"/>
  <c r="AQ127" i="1"/>
  <c r="AQ126" i="1"/>
  <c r="AQ125" i="1"/>
  <c r="AH125" i="1"/>
  <c r="Z125" i="1"/>
  <c r="AQ124" i="1"/>
  <c r="AH124" i="1"/>
  <c r="Z124" i="1"/>
  <c r="V124" i="1" s="1"/>
  <c r="X124" i="1"/>
  <c r="AQ123" i="1"/>
  <c r="AQ122" i="1"/>
  <c r="AQ121" i="1"/>
  <c r="AH121" i="1"/>
  <c r="Z121" i="1"/>
  <c r="X121" i="1"/>
  <c r="V121" i="1"/>
  <c r="AQ120" i="1"/>
  <c r="AQ119" i="1"/>
  <c r="AQ118" i="1"/>
  <c r="AH118" i="1"/>
  <c r="Z118" i="1"/>
  <c r="V118" i="1" s="1"/>
  <c r="X118" i="1"/>
  <c r="AQ117" i="1"/>
  <c r="AQ116" i="1"/>
  <c r="AH116" i="1"/>
  <c r="Z116" i="1"/>
  <c r="X116" i="1"/>
  <c r="V116" i="1"/>
  <c r="AQ115" i="1"/>
  <c r="AQ114" i="1"/>
  <c r="AQ113" i="1"/>
  <c r="AH113" i="1"/>
  <c r="Z113" i="1"/>
  <c r="X113" i="1"/>
  <c r="V113" i="1"/>
  <c r="AQ112" i="1"/>
  <c r="AQ111" i="1"/>
  <c r="AQ110" i="1"/>
  <c r="AH110" i="1"/>
  <c r="Z110" i="1"/>
  <c r="V110" i="1" s="1"/>
  <c r="X110" i="1"/>
  <c r="AQ109" i="1"/>
  <c r="AQ108" i="1"/>
  <c r="AH108" i="1"/>
  <c r="Z108" i="1"/>
  <c r="X108" i="1"/>
  <c r="V108" i="1"/>
  <c r="AQ107" i="1"/>
  <c r="AH107" i="1"/>
  <c r="Z107" i="1"/>
  <c r="V107" i="1" s="1"/>
  <c r="X107" i="1"/>
  <c r="AQ106" i="1"/>
  <c r="AH106" i="1"/>
  <c r="Z106" i="1"/>
  <c r="V106" i="1" s="1"/>
  <c r="X106" i="1"/>
  <c r="AQ105" i="1"/>
  <c r="AQ104" i="1"/>
  <c r="AQ103" i="1"/>
  <c r="AQ102" i="1"/>
  <c r="AQ101" i="1"/>
  <c r="AH101" i="1"/>
  <c r="Z101" i="1"/>
  <c r="X101" i="1"/>
  <c r="V101" i="1"/>
  <c r="AQ100" i="1"/>
  <c r="AQ99" i="1"/>
  <c r="AH99" i="1"/>
  <c r="Z99" i="1"/>
  <c r="AQ98" i="1"/>
  <c r="AH98" i="1"/>
  <c r="Z98" i="1"/>
  <c r="AQ97" i="1"/>
  <c r="AH97" i="1"/>
  <c r="Z97" i="1"/>
  <c r="X97" i="1"/>
  <c r="V97" i="1"/>
  <c r="AQ96" i="1"/>
  <c r="AH96" i="1"/>
  <c r="Z96" i="1"/>
  <c r="V96" i="1" s="1"/>
  <c r="X96" i="1"/>
  <c r="AQ95" i="1"/>
  <c r="AH95" i="1"/>
  <c r="Z95" i="1"/>
  <c r="V95" i="1" s="1"/>
  <c r="X95" i="1"/>
  <c r="AQ94" i="1"/>
  <c r="AQ93" i="1"/>
  <c r="AQ92" i="1"/>
  <c r="AH92" i="1"/>
  <c r="Z92" i="1"/>
  <c r="AQ91" i="1"/>
  <c r="AH91" i="1"/>
  <c r="AQ90" i="1"/>
  <c r="AQ89" i="1"/>
  <c r="AH89" i="1"/>
  <c r="Z89" i="1"/>
  <c r="V89" i="1" s="1"/>
  <c r="X89" i="1"/>
  <c r="AQ88" i="1"/>
  <c r="AH88" i="1"/>
  <c r="Z88" i="1"/>
  <c r="V88" i="1" s="1"/>
  <c r="X88" i="1"/>
  <c r="AQ87" i="1"/>
  <c r="AQ86" i="1"/>
  <c r="AQ85" i="1"/>
  <c r="AH85" i="1"/>
  <c r="Z85" i="1"/>
  <c r="V85" i="1" s="1"/>
  <c r="AQ84" i="1"/>
  <c r="AQ83" i="1"/>
  <c r="AH83" i="1"/>
  <c r="Z83" i="1"/>
  <c r="V83" i="1" s="1"/>
  <c r="X83" i="1"/>
  <c r="AQ82" i="1"/>
  <c r="AH82" i="1"/>
  <c r="Z82" i="1"/>
  <c r="V82" i="1" s="1"/>
  <c r="X82" i="1"/>
  <c r="AQ81" i="1"/>
  <c r="AH81" i="1"/>
  <c r="Z81" i="1"/>
  <c r="V81" i="1" s="1"/>
  <c r="X81" i="1"/>
  <c r="AQ80" i="1"/>
  <c r="AH80" i="1"/>
  <c r="Z80" i="1"/>
  <c r="V80" i="1" s="1"/>
  <c r="X80" i="1"/>
  <c r="AQ79" i="1"/>
  <c r="AH79" i="1"/>
  <c r="Z79" i="1"/>
  <c r="X79" i="1"/>
  <c r="V79" i="1"/>
  <c r="AQ78" i="1"/>
  <c r="AH78" i="1"/>
  <c r="Z78" i="1"/>
  <c r="X78" i="1"/>
  <c r="V78" i="1"/>
  <c r="AQ77" i="1"/>
  <c r="AH77" i="1"/>
  <c r="Z77" i="1"/>
  <c r="V77" i="1" s="1"/>
  <c r="X77" i="1"/>
  <c r="AQ76" i="1"/>
  <c r="AH76" i="1"/>
  <c r="Z76" i="1"/>
  <c r="V76" i="1" s="1"/>
  <c r="X76" i="1"/>
  <c r="AQ75" i="1"/>
  <c r="AH75" i="1"/>
  <c r="Z75" i="1"/>
  <c r="V75" i="1" s="1"/>
  <c r="X75" i="1"/>
  <c r="AQ74" i="1"/>
  <c r="AQ73" i="1"/>
  <c r="AH73" i="1"/>
  <c r="Z73" i="1"/>
  <c r="V73" i="1" s="1"/>
  <c r="X73" i="1"/>
  <c r="AQ72" i="1"/>
  <c r="AH72" i="1"/>
  <c r="Z72" i="1"/>
  <c r="V72" i="1" s="1"/>
  <c r="AQ71" i="1"/>
  <c r="AQ70" i="1"/>
  <c r="AQ69" i="1"/>
  <c r="AQ68" i="1"/>
  <c r="AH68" i="1"/>
  <c r="Z68" i="1"/>
  <c r="V68" i="1" s="1"/>
  <c r="X68" i="1"/>
  <c r="AQ67" i="1"/>
  <c r="AH67" i="1"/>
  <c r="Z67" i="1"/>
  <c r="V67" i="1" s="1"/>
  <c r="X67" i="1"/>
  <c r="AQ66" i="1"/>
  <c r="AH66" i="1"/>
  <c r="Z66" i="1"/>
  <c r="V66" i="1" s="1"/>
  <c r="X66" i="1"/>
  <c r="AQ65" i="1"/>
  <c r="AQ64" i="1"/>
  <c r="AH64" i="1"/>
  <c r="Z64" i="1"/>
  <c r="V64" i="1" s="1"/>
  <c r="X64" i="1"/>
  <c r="AQ63" i="1"/>
  <c r="AH63" i="1"/>
  <c r="Z63" i="1"/>
  <c r="V63" i="1" s="1"/>
  <c r="X63" i="1"/>
  <c r="AQ62" i="1"/>
  <c r="AQ61" i="1"/>
  <c r="AQ60" i="1"/>
  <c r="AH60" i="1"/>
  <c r="Z60" i="1"/>
  <c r="V60" i="1" s="1"/>
  <c r="X60" i="1"/>
  <c r="AQ59" i="1"/>
  <c r="AH59" i="1"/>
  <c r="Z59" i="1"/>
  <c r="V59" i="1" s="1"/>
  <c r="X59" i="1"/>
  <c r="AQ58" i="1"/>
  <c r="AQ57" i="1"/>
  <c r="AQ56" i="1"/>
  <c r="AQ55" i="1"/>
  <c r="AH55" i="1"/>
  <c r="Z55" i="1"/>
  <c r="V55" i="1" s="1"/>
  <c r="X55" i="1"/>
  <c r="AQ54" i="1"/>
  <c r="AH54" i="1"/>
  <c r="Z54" i="1"/>
  <c r="X54" i="1"/>
  <c r="V54" i="1"/>
  <c r="AQ53" i="1"/>
  <c r="AQ52" i="1"/>
  <c r="AQ51" i="1"/>
  <c r="AH51" i="1"/>
  <c r="Z51" i="1"/>
  <c r="V51" i="1" s="1"/>
  <c r="X51" i="1"/>
  <c r="AQ50" i="1"/>
  <c r="AH50" i="1"/>
  <c r="Z50" i="1"/>
  <c r="X50" i="1"/>
  <c r="V50" i="1"/>
  <c r="AQ49" i="1"/>
  <c r="AQ48" i="1"/>
  <c r="AQ47" i="1"/>
  <c r="AH47" i="1"/>
  <c r="Z47" i="1"/>
  <c r="V47" i="1" s="1"/>
  <c r="X47" i="1"/>
  <c r="AQ46" i="1"/>
  <c r="AQ45" i="1"/>
  <c r="AQ44" i="1"/>
  <c r="AH44" i="1"/>
  <c r="Z44" i="1"/>
  <c r="V44" i="1" s="1"/>
  <c r="X44" i="1"/>
  <c r="AQ43" i="1"/>
  <c r="AH43" i="1"/>
  <c r="Z43" i="1"/>
  <c r="V43" i="1" s="1"/>
  <c r="X43" i="1"/>
  <c r="AQ42" i="1"/>
  <c r="AH42" i="1"/>
  <c r="Z42" i="1"/>
  <c r="X42" i="1"/>
  <c r="V42" i="1"/>
  <c r="AQ41" i="1"/>
  <c r="AH41" i="1"/>
  <c r="Z41" i="1"/>
  <c r="V41" i="1" s="1"/>
  <c r="X41" i="1"/>
  <c r="AQ40" i="1"/>
  <c r="AQ39" i="1"/>
  <c r="AH39" i="1"/>
  <c r="Z39" i="1"/>
  <c r="V39" i="1" s="1"/>
  <c r="AQ38" i="1"/>
  <c r="AH38" i="1"/>
  <c r="Z38" i="1"/>
  <c r="V38" i="1" s="1"/>
  <c r="X38" i="1"/>
  <c r="AQ37" i="1"/>
  <c r="AH37" i="1"/>
  <c r="Z37" i="1"/>
  <c r="V37" i="1" s="1"/>
  <c r="X37" i="1"/>
  <c r="AQ36" i="1"/>
  <c r="AH36" i="1"/>
  <c r="Z36" i="1"/>
  <c r="X36" i="1"/>
  <c r="V36" i="1"/>
  <c r="AQ35" i="1"/>
  <c r="AH35" i="1"/>
  <c r="Z35" i="1"/>
  <c r="V35" i="1" s="1"/>
  <c r="X35" i="1"/>
  <c r="AQ34" i="1"/>
  <c r="AH34" i="1"/>
  <c r="Z34" i="1"/>
  <c r="V34" i="1" s="1"/>
  <c r="X34" i="1"/>
  <c r="AQ33" i="1"/>
  <c r="AQ32" i="1"/>
  <c r="AH32" i="1"/>
  <c r="Z32" i="1"/>
  <c r="V32" i="1" s="1"/>
  <c r="X32" i="1"/>
  <c r="AQ31" i="1"/>
  <c r="AH31" i="1"/>
  <c r="Z31" i="1"/>
  <c r="V31" i="1" s="1"/>
  <c r="X31" i="1"/>
  <c r="AQ30" i="1"/>
  <c r="AH30" i="1"/>
  <c r="Z30" i="1"/>
  <c r="V30" i="1" s="1"/>
  <c r="X30" i="1"/>
  <c r="AQ29" i="1"/>
  <c r="AH29" i="1"/>
  <c r="Z29" i="1"/>
  <c r="V29" i="1" s="1"/>
  <c r="X29" i="1"/>
  <c r="AQ28" i="1"/>
  <c r="AH28" i="1"/>
  <c r="Z28" i="1"/>
  <c r="X28" i="1"/>
  <c r="V28" i="1"/>
  <c r="AQ27" i="1"/>
  <c r="AH27" i="1"/>
  <c r="Z27" i="1"/>
  <c r="V27" i="1" s="1"/>
  <c r="X27" i="1"/>
  <c r="AQ26" i="1"/>
  <c r="AH26" i="1"/>
  <c r="Z26" i="1"/>
  <c r="V26" i="1" s="1"/>
  <c r="X26" i="1"/>
  <c r="AQ25" i="1"/>
  <c r="AH25" i="1"/>
  <c r="Z25" i="1"/>
  <c r="X25" i="1"/>
  <c r="V25" i="1"/>
  <c r="AQ24" i="1"/>
  <c r="AH24" i="1"/>
  <c r="Z24" i="1"/>
  <c r="V24" i="1" s="1"/>
  <c r="X24" i="1"/>
  <c r="AQ23" i="1"/>
  <c r="AH23" i="1"/>
  <c r="Z23" i="1"/>
  <c r="V23" i="1" s="1"/>
  <c r="X23" i="1"/>
  <c r="AQ22" i="1"/>
  <c r="AH22" i="1"/>
  <c r="Z22" i="1"/>
  <c r="V22" i="1" s="1"/>
  <c r="X22" i="1"/>
  <c r="AQ21" i="1"/>
  <c r="AQ20" i="1"/>
  <c r="AH20" i="1"/>
  <c r="Z20" i="1"/>
  <c r="X20" i="1"/>
  <c r="V20" i="1"/>
  <c r="AQ19" i="1"/>
  <c r="AH19" i="1"/>
  <c r="Z19" i="1"/>
  <c r="V19" i="1" s="1"/>
  <c r="X19" i="1"/>
  <c r="AQ18" i="1"/>
  <c r="AH18" i="1"/>
  <c r="Z18" i="1"/>
  <c r="V18" i="1" s="1"/>
  <c r="X18" i="1"/>
  <c r="AQ17" i="1"/>
  <c r="AH17" i="1"/>
  <c r="Z17" i="1"/>
  <c r="X17" i="1"/>
  <c r="V17" i="1"/>
  <c r="AQ16" i="1"/>
  <c r="AH16" i="1"/>
  <c r="Z16" i="1"/>
  <c r="V16" i="1"/>
  <c r="AQ15" i="1"/>
  <c r="AH15" i="1"/>
  <c r="Z15" i="1"/>
  <c r="V15" i="1" s="1"/>
  <c r="X15" i="1"/>
  <c r="AQ14" i="1"/>
  <c r="AH14" i="1"/>
  <c r="Z14" i="1"/>
  <c r="V14" i="1" s="1"/>
  <c r="X14" i="1"/>
  <c r="AQ13" i="1"/>
  <c r="AQ12" i="1"/>
  <c r="AH12" i="1"/>
  <c r="B60" i="11" s="1"/>
  <c r="Z12" i="1"/>
  <c r="X12" i="1"/>
  <c r="V12" i="1"/>
  <c r="AQ11" i="1"/>
  <c r="AH11" i="1"/>
  <c r="Z11" i="1"/>
  <c r="X11" i="1"/>
  <c r="V11" i="1"/>
  <c r="B39" i="11" l="1"/>
  <c r="C39" i="11" s="1"/>
  <c r="B3" i="4"/>
  <c r="B4" i="4" s="1"/>
  <c r="C6" i="11"/>
  <c r="B8" i="15"/>
  <c r="B23" i="11"/>
  <c r="C23" i="11" s="1"/>
  <c r="C41" i="11"/>
  <c r="D3" i="6"/>
  <c r="D7" i="6"/>
  <c r="D11" i="6"/>
  <c r="D15" i="6"/>
  <c r="D19" i="6"/>
  <c r="D23" i="6"/>
  <c r="D27" i="6"/>
  <c r="D35" i="6"/>
  <c r="D51" i="6"/>
  <c r="D55" i="6"/>
  <c r="D59" i="6"/>
  <c r="D63" i="6"/>
  <c r="D67" i="6"/>
  <c r="D71" i="6"/>
  <c r="D79" i="6"/>
  <c r="D83" i="6"/>
  <c r="D87" i="6"/>
  <c r="D91" i="6"/>
  <c r="D95" i="6"/>
  <c r="D99" i="6"/>
  <c r="D103" i="6"/>
  <c r="D111" i="6"/>
  <c r="D2" i="6"/>
  <c r="D6" i="6"/>
  <c r="D10" i="6"/>
  <c r="D14" i="6"/>
  <c r="D18" i="6"/>
  <c r="D22" i="6"/>
  <c r="D26" i="6"/>
  <c r="D30" i="6"/>
  <c r="D34" i="6"/>
  <c r="D38" i="6"/>
  <c r="D42" i="6"/>
  <c r="D165" i="6"/>
  <c r="D169" i="6"/>
  <c r="D173" i="6"/>
  <c r="D177" i="6"/>
  <c r="D181" i="6"/>
  <c r="D9" i="6"/>
  <c r="D13" i="6"/>
  <c r="D17" i="6"/>
  <c r="D21" i="6"/>
  <c r="D25" i="6"/>
  <c r="D29" i="6"/>
  <c r="D33" i="6"/>
  <c r="D41" i="6"/>
  <c r="D113" i="6"/>
  <c r="D117" i="6"/>
  <c r="D121" i="6"/>
  <c r="D125" i="6"/>
  <c r="D129" i="6"/>
  <c r="D137" i="6"/>
  <c r="D145" i="6"/>
  <c r="D8" i="6"/>
  <c r="D16" i="6"/>
  <c r="D20" i="6"/>
  <c r="D28" i="6"/>
  <c r="D32" i="6"/>
  <c r="D56" i="6"/>
  <c r="D64" i="6"/>
  <c r="D68" i="6"/>
  <c r="D72" i="6"/>
  <c r="D76" i="6"/>
  <c r="D84" i="6"/>
  <c r="D92" i="6"/>
  <c r="D108" i="6"/>
  <c r="D45" i="6"/>
  <c r="D57" i="6"/>
  <c r="D65" i="6"/>
  <c r="D69" i="6"/>
  <c r="D73" i="6"/>
  <c r="D89" i="6"/>
  <c r="D101" i="6"/>
  <c r="D105" i="6"/>
  <c r="D185" i="6"/>
  <c r="D112" i="6"/>
  <c r="D46" i="6"/>
  <c r="D50" i="6"/>
  <c r="D54" i="6"/>
  <c r="D58" i="6"/>
  <c r="D66" i="6"/>
  <c r="D70" i="6"/>
  <c r="D74" i="6"/>
  <c r="D78" i="6"/>
  <c r="D82" i="6"/>
  <c r="D90" i="6"/>
  <c r="D98" i="6"/>
  <c r="D110" i="6"/>
  <c r="D126" i="6"/>
  <c r="D134" i="6"/>
  <c r="D142" i="6"/>
  <c r="D146" i="6"/>
  <c r="D150" i="6"/>
  <c r="D154" i="6"/>
  <c r="D158" i="6"/>
  <c r="D162" i="6"/>
  <c r="D166" i="6"/>
  <c r="D174" i="6"/>
  <c r="D178" i="6"/>
  <c r="D182" i="6"/>
  <c r="H4" i="4"/>
  <c r="H6" i="4" s="1"/>
  <c r="H5" i="4"/>
  <c r="H3" i="4"/>
  <c r="H7" i="4" s="1"/>
  <c r="B3" i="11"/>
  <c r="C3" i="11" s="1"/>
  <c r="E3" i="4"/>
  <c r="E4" i="4"/>
  <c r="D119" i="6"/>
  <c r="D123" i="6"/>
  <c r="D127" i="6"/>
  <c r="D131" i="6"/>
  <c r="D135" i="6"/>
  <c r="D143" i="6"/>
  <c r="D147" i="6"/>
  <c r="D151" i="6"/>
  <c r="D155" i="6"/>
  <c r="D159" i="6"/>
  <c r="D163" i="6"/>
  <c r="D167" i="6"/>
  <c r="D175" i="6"/>
  <c r="D179" i="6"/>
  <c r="D183" i="6"/>
  <c r="D195" i="6"/>
  <c r="B22" i="11"/>
  <c r="C22" i="11" s="1"/>
  <c r="D124" i="6"/>
  <c r="D132" i="6"/>
  <c r="D136" i="6"/>
  <c r="D144" i="6"/>
  <c r="D156" i="6"/>
  <c r="D160" i="6"/>
  <c r="D164" i="6"/>
  <c r="D168" i="6"/>
  <c r="D172" i="6"/>
  <c r="D180" i="6"/>
  <c r="D184" i="6"/>
  <c r="C2" i="11"/>
  <c r="B16" i="15"/>
  <c r="A21" i="15"/>
  <c r="A16" i="15"/>
  <c r="B21" i="15"/>
  <c r="B5" i="4" l="1"/>
  <c r="B6" i="4" s="1"/>
  <c r="H9" i="4"/>
  <c r="H10" i="4"/>
  <c r="H12" i="4" s="1"/>
  <c r="E5" i="4"/>
  <c r="B19" i="15"/>
  <c r="B22" i="15" s="1"/>
  <c r="A22" i="15"/>
  <c r="B7" i="4" l="1"/>
  <c r="B8" i="4" s="1"/>
  <c r="E6" i="4"/>
  <c r="B9" i="4" l="1"/>
  <c r="B10" i="4" s="1"/>
  <c r="B12" i="4" s="1"/>
  <c r="E7" i="4"/>
  <c r="E8" i="4" s="1"/>
  <c r="E9" i="4" l="1"/>
  <c r="E10" i="4"/>
  <c r="E12" i="4" s="1"/>
</calcChain>
</file>

<file path=xl/sharedStrings.xml><?xml version="1.0" encoding="utf-8"?>
<sst xmlns="http://schemas.openxmlformats.org/spreadsheetml/2006/main" count="6948" uniqueCount="526">
  <si>
    <t>Relocation</t>
  </si>
  <si>
    <t>Not excavated</t>
  </si>
  <si>
    <t>Excavated</t>
  </si>
  <si>
    <t>Δεδομένα καταγραφής φωλιών -ακτή Μούντας 2021</t>
  </si>
  <si>
    <t>Δεδομένα ανάδυσης νεοσσών - Ακτή Μούντας 2021</t>
  </si>
  <si>
    <t>Nesting data 2021</t>
  </si>
  <si>
    <t xml:space="preserve">                                                       Hatchlings emerges data-Mounda beach 2021</t>
  </si>
  <si>
    <r>
      <rPr>
        <b/>
        <sz val="12"/>
        <color theme="1"/>
        <rFont val="Calibri"/>
      </rPr>
      <t xml:space="preserve">ΠΙΝΑΚΑΣ 1. Σύνολο  αριθμού  αυγών ανά εκσκαμένη φωλιά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Calibri"/>
      </rPr>
      <t xml:space="preserve"> (Eggs total number per nest excavated)</t>
    </r>
  </si>
  <si>
    <t>NESTS 2021</t>
  </si>
  <si>
    <r>
      <rPr>
        <b/>
        <sz val="12"/>
        <color theme="1"/>
        <rFont val="Calibri"/>
      </rPr>
      <t xml:space="preserve">ΠΙΝΑΚΑΣ 2(α). Σύνολο  αριθμού επωασθέντων                                                                                                                                                  </t>
    </r>
    <r>
      <rPr>
        <sz val="12"/>
        <color theme="1"/>
        <rFont val="Calibri"/>
      </rPr>
      <t xml:space="preserve"> (Eggs total  incubated number )           </t>
    </r>
    <r>
      <rPr>
        <b/>
        <sz val="12"/>
        <color theme="1"/>
        <rFont val="Calibri"/>
      </rPr>
      <t xml:space="preserve">             </t>
    </r>
  </si>
  <si>
    <r>
      <rPr>
        <b/>
        <sz val="12"/>
        <color theme="1"/>
        <rFont val="Calibri"/>
      </rPr>
      <t xml:space="preserve"> ΠΙΝΑΚΑΣ 2(β).  Σύνολο αριθμού μη επωασθέντων                                                          </t>
    </r>
    <r>
      <rPr>
        <sz val="12"/>
        <color theme="1"/>
        <rFont val="Calibri"/>
      </rPr>
      <t xml:space="preserve"> (Eggs total non incubated number)</t>
    </r>
  </si>
  <si>
    <t>ΑΡΙΘΜ.ΦΩΛΙΑΣ</t>
  </si>
  <si>
    <t>ΑΡΙΘΜ.ΕΤΙΚΕΤΑΣ ΧΕΛΩΝΑΣ &amp;</t>
  </si>
  <si>
    <t>ΘΕΣΗ ΦΩΛΙΑΣ</t>
  </si>
  <si>
    <t>ΗΜΕΡΜ/ΝΙΑ ΩΟΤΟΚΙΑΣ</t>
  </si>
  <si>
    <t>Ευθύ μήκος (cm)</t>
  </si>
  <si>
    <t>Καμπύλο μήκος (cm)</t>
  </si>
  <si>
    <t>Ευθύ πλάτος(cm)</t>
  </si>
  <si>
    <t>Καμπύλο πλάτος(cm)</t>
  </si>
  <si>
    <t>Ώρα εξόδου(t)</t>
  </si>
  <si>
    <t xml:space="preserve">Προθάλαμος(t) </t>
  </si>
  <si>
    <t>Θάλαμος αυγών(t)</t>
  </si>
  <si>
    <t>Ωοτοκία(t)</t>
  </si>
  <si>
    <t>Κάλυψη φωλιάς(t)</t>
  </si>
  <si>
    <t>Καμουφλάζ (t)</t>
  </si>
  <si>
    <t>Επιστροφή(t)</t>
  </si>
  <si>
    <t>Ώρα εισόδου (t)</t>
  </si>
  <si>
    <r>
      <rPr>
        <b/>
        <sz val="12"/>
        <color theme="1"/>
        <rFont val="Calibri"/>
      </rPr>
      <t xml:space="preserve">ΠΙΝΑΚΑΣ 3(α).  Σύνολο αριθμού εκκολαφθέντων(άδεια κελύφη)                                                                 </t>
    </r>
    <r>
      <rPr>
        <sz val="12"/>
        <color theme="1"/>
        <rFont val="Calibri"/>
      </rPr>
      <t xml:space="preserve">                                                          (Total hatched number )</t>
    </r>
  </si>
  <si>
    <r>
      <rPr>
        <b/>
        <sz val="12"/>
        <color theme="1"/>
        <rFont val="Calibri"/>
      </rPr>
      <t xml:space="preserve">ΠΙΝΑΚΑΣ 3(β). Σύνολο αριθμού μη εκκολαφθέντων                                      </t>
    </r>
    <r>
      <rPr>
        <sz val="12"/>
        <color theme="1"/>
        <rFont val="Calibri"/>
      </rPr>
      <t>(Total unhatched number)</t>
    </r>
    <r>
      <rPr>
        <b/>
        <sz val="12"/>
        <color theme="1"/>
        <rFont val="Calibri"/>
      </rPr>
      <t xml:space="preserve"> </t>
    </r>
  </si>
  <si>
    <t>1η ΑΝΑΔΥΣΗ ΝΕΟΣΣΩΝ</t>
  </si>
  <si>
    <t>ΑΡΙΘΜ.ΝΕΟΣΣΩΝ</t>
  </si>
  <si>
    <t xml:space="preserve"> ΔΙΑΡΚΕΙΑ ΕΠΩΑΣΗΣ</t>
  </si>
  <si>
    <t>2η ΑΝΑΔΥΣΗ ΝΕΟΣΣΩΝ</t>
  </si>
  <si>
    <t>ΔΙΑΣΤΗΜΑ ΜΕΤΑΞΥ ΑΝΑΔΥΣΕΩΝ</t>
  </si>
  <si>
    <t>3η ΑΝΑΔΥΣΗ ΝΕΟΣΣΩΝ</t>
  </si>
  <si>
    <t>4η ΑΝΑΔΥΣΗ ΝΕΟΣΣΩΝ</t>
  </si>
  <si>
    <t>5η ΑΝΑΔΥΣΗ ΝΕΟΣΣΩΝ</t>
  </si>
  <si>
    <t>6η ΑΝΑΔΥΣΗ ΝΕΟΣΣΩΝ</t>
  </si>
  <si>
    <t>NEST NUMBER</t>
  </si>
  <si>
    <t>BEACH</t>
  </si>
  <si>
    <t>TURTLE TAG NUMBER</t>
  </si>
  <si>
    <t>NEST LOCATION</t>
  </si>
  <si>
    <t>OVIPOSITION DAY</t>
  </si>
  <si>
    <t>MEASURES OF FLIPPER TRACKS (IN)</t>
  </si>
  <si>
    <t>MEASURES OF FLIPPER TRACKS (OUT)</t>
  </si>
  <si>
    <t>CURVED LENGHT (cm)</t>
  </si>
  <si>
    <t>CURVED WIDTH (cm)</t>
  </si>
  <si>
    <t>STRAIGHT LENGHT (cm)</t>
  </si>
  <si>
    <t>STRAIGHT WIDTH (cm)</t>
  </si>
  <si>
    <t>EXIT TIME</t>
  </si>
  <si>
    <t>BODYPIT</t>
  </si>
  <si>
    <t>EGG CHAMBER (t)</t>
  </si>
  <si>
    <t>LAYING (t)</t>
  </si>
  <si>
    <t>COVERING (t)</t>
  </si>
  <si>
    <t>CAMOUFLAGE (t)</t>
  </si>
  <si>
    <t>RETURN (t)</t>
  </si>
  <si>
    <t>ENTER (t)</t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</si>
  <si>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(Number)</t>
    </r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</si>
  <si>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(Number)</t>
    </r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</si>
  <si>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(Number)</t>
    </r>
  </si>
  <si>
    <r>
      <rPr>
        <b/>
        <sz val="12"/>
        <color theme="1"/>
        <rFont val="Calibri"/>
      </rPr>
      <t xml:space="preserve">3(α)1.Αναδυθέντα </t>
    </r>
    <r>
      <rPr>
        <sz val="12"/>
        <color theme="1"/>
        <rFont val="Calibri"/>
      </rPr>
      <t>(Emerged)</t>
    </r>
  </si>
  <si>
    <r>
      <rPr>
        <b/>
        <sz val="12"/>
        <color theme="1"/>
        <rFont val="Calibri"/>
      </rPr>
      <t xml:space="preserve">3(α)2 Νεκρά στην φωλιά                         </t>
    </r>
    <r>
      <rPr>
        <sz val="12"/>
        <color theme="1"/>
        <rFont val="Calibri"/>
      </rPr>
      <t>(Not emergenced)</t>
    </r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</si>
  <si>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(Total Number)</t>
    </r>
  </si>
  <si>
    <t>Pipped</t>
  </si>
  <si>
    <t>Yolk absorbed</t>
  </si>
  <si>
    <t>Non yolk absorbed</t>
  </si>
  <si>
    <t>Embryo with different size</t>
  </si>
  <si>
    <r>
      <rPr>
        <b/>
        <sz val="12"/>
        <color theme="1"/>
        <rFont val="Calibri"/>
      </rPr>
      <t>2(β)2. Αυγά ανώμαλης μορφολογίας</t>
    </r>
    <r>
      <rPr>
        <sz val="12"/>
        <color theme="1"/>
        <rFont val="Calibri"/>
      </rPr>
      <t xml:space="preserve">                      (Eggs with abnormal morphology)</t>
    </r>
  </si>
  <si>
    <t>Embryo with eye spot</t>
  </si>
  <si>
    <t>Decomposed Embryos</t>
  </si>
  <si>
    <r>
      <rPr>
        <b/>
        <sz val="12"/>
        <color theme="1"/>
        <rFont val="Calibri"/>
      </rPr>
      <t xml:space="preserve">Αριθμός </t>
    </r>
    <r>
      <rPr>
        <sz val="12"/>
        <color theme="1"/>
        <rFont val="Calibri"/>
      </rPr>
      <t>(Number)</t>
    </r>
  </si>
  <si>
    <r>
      <rPr>
        <b/>
        <sz val="12"/>
        <color theme="1"/>
        <rFont val="Calibri"/>
      </rPr>
      <t xml:space="preserve">2(β)1) Λέκιθος  αυγού χωρίς  ένδειξη κηλίδας ματιού </t>
    </r>
    <r>
      <rPr>
        <sz val="12"/>
        <color theme="1"/>
        <rFont val="Calibri"/>
      </rPr>
      <t>(yolked without indication of eye spot)</t>
    </r>
  </si>
  <si>
    <t>Pink bacteria</t>
  </si>
  <si>
    <t>Mucus green bacteria</t>
  </si>
  <si>
    <t>With worms</t>
  </si>
  <si>
    <t>EXCAVATED</t>
  </si>
  <si>
    <t>EXCAVATION DAY</t>
  </si>
  <si>
    <t xml:space="preserve">1st HATCHLINGS EMERGES </t>
  </si>
  <si>
    <t>HATCHLINGS NUMBER</t>
  </si>
  <si>
    <t>DURATION OF INCUBATION</t>
  </si>
  <si>
    <t xml:space="preserve">2nd HATCHLINGS EMERGES </t>
  </si>
  <si>
    <t>INTERVAL BETWEEN EMERGES</t>
  </si>
  <si>
    <t xml:space="preserve">3nd HATCHLINGS EMERGES </t>
  </si>
  <si>
    <t xml:space="preserve">4th HATCHLINGS EMERGES </t>
  </si>
  <si>
    <t xml:space="preserve">5th HATCHLINGS EMERGENCE </t>
  </si>
  <si>
    <t xml:space="preserve">6th HATCHLINGS EMERGES </t>
  </si>
  <si>
    <t xml:space="preserve">LAST HATCHLINGS EMERGES </t>
  </si>
  <si>
    <t>1P</t>
  </si>
  <si>
    <t>P</t>
  </si>
  <si>
    <t>N.A.</t>
  </si>
  <si>
    <t>2P</t>
  </si>
  <si>
    <t>3P</t>
  </si>
  <si>
    <t>4K</t>
  </si>
  <si>
    <t>K</t>
  </si>
  <si>
    <t>5K</t>
  </si>
  <si>
    <t>6P</t>
  </si>
  <si>
    <t>7P</t>
  </si>
  <si>
    <t>8P</t>
  </si>
  <si>
    <t>9K</t>
  </si>
  <si>
    <t>10P</t>
  </si>
  <si>
    <t>11K</t>
  </si>
  <si>
    <t>12K</t>
  </si>
  <si>
    <t>13P</t>
  </si>
  <si>
    <t>14K</t>
  </si>
  <si>
    <t>15P</t>
  </si>
  <si>
    <t>16K</t>
  </si>
  <si>
    <t>17K</t>
  </si>
  <si>
    <t>18P</t>
  </si>
  <si>
    <t>1 Day</t>
  </si>
  <si>
    <t>19P</t>
  </si>
  <si>
    <t>20P</t>
  </si>
  <si>
    <t>21K</t>
  </si>
  <si>
    <t>22K</t>
  </si>
  <si>
    <t>23K</t>
  </si>
  <si>
    <t>24K</t>
  </si>
  <si>
    <t>25P</t>
  </si>
  <si>
    <t>26P</t>
  </si>
  <si>
    <t>27P</t>
  </si>
  <si>
    <t>28K</t>
  </si>
  <si>
    <t>29K</t>
  </si>
  <si>
    <t>30K</t>
  </si>
  <si>
    <t>31K</t>
  </si>
  <si>
    <t>32K</t>
  </si>
  <si>
    <t>K434</t>
  </si>
  <si>
    <t>33P</t>
  </si>
  <si>
    <t>34K</t>
  </si>
  <si>
    <t>K435</t>
  </si>
  <si>
    <t>35K</t>
  </si>
  <si>
    <t>36K</t>
  </si>
  <si>
    <t>37K</t>
  </si>
  <si>
    <t>38P</t>
  </si>
  <si>
    <t>39K</t>
  </si>
  <si>
    <t>40P</t>
  </si>
  <si>
    <t>41P</t>
  </si>
  <si>
    <t>42K</t>
  </si>
  <si>
    <t>43K</t>
  </si>
  <si>
    <t>44K</t>
  </si>
  <si>
    <t>45K</t>
  </si>
  <si>
    <t>46K</t>
  </si>
  <si>
    <t>47K</t>
  </si>
  <si>
    <t>48K</t>
  </si>
  <si>
    <t>49K</t>
  </si>
  <si>
    <t>50K</t>
  </si>
  <si>
    <t>51P</t>
  </si>
  <si>
    <t>52K</t>
  </si>
  <si>
    <t>53K</t>
  </si>
  <si>
    <t>54K</t>
  </si>
  <si>
    <t>55K</t>
  </si>
  <si>
    <t>56K</t>
  </si>
  <si>
    <t>57K</t>
  </si>
  <si>
    <t>58K</t>
  </si>
  <si>
    <t>59K</t>
  </si>
  <si>
    <t>60P</t>
  </si>
  <si>
    <t>61K</t>
  </si>
  <si>
    <t>62K</t>
  </si>
  <si>
    <t>2 Days</t>
  </si>
  <si>
    <t>63K</t>
  </si>
  <si>
    <t>64P</t>
  </si>
  <si>
    <t>65K</t>
  </si>
  <si>
    <t>66P</t>
  </si>
  <si>
    <t>67K</t>
  </si>
  <si>
    <t>68K</t>
  </si>
  <si>
    <t>69K</t>
  </si>
  <si>
    <t>70P</t>
  </si>
  <si>
    <t>71P</t>
  </si>
  <si>
    <t>72K</t>
  </si>
  <si>
    <t>2 Day</t>
  </si>
  <si>
    <t>73K</t>
  </si>
  <si>
    <t>74K</t>
  </si>
  <si>
    <t>75K</t>
  </si>
  <si>
    <t>76P</t>
  </si>
  <si>
    <t>77P</t>
  </si>
  <si>
    <t>4 Days</t>
  </si>
  <si>
    <t>78K</t>
  </si>
  <si>
    <t>79P</t>
  </si>
  <si>
    <t>80P</t>
  </si>
  <si>
    <t>81P</t>
  </si>
  <si>
    <t>82K</t>
  </si>
  <si>
    <t>83P</t>
  </si>
  <si>
    <t>84K</t>
  </si>
  <si>
    <t>85P</t>
  </si>
  <si>
    <t>86K</t>
  </si>
  <si>
    <t>87P</t>
  </si>
  <si>
    <t>88K</t>
  </si>
  <si>
    <t>89P</t>
  </si>
  <si>
    <t>90K</t>
  </si>
  <si>
    <t>91K</t>
  </si>
  <si>
    <t>92P</t>
  </si>
  <si>
    <t>93K</t>
  </si>
  <si>
    <t>94P</t>
  </si>
  <si>
    <t>95P</t>
  </si>
  <si>
    <t>96P</t>
  </si>
  <si>
    <t>97P</t>
  </si>
  <si>
    <t>98P</t>
  </si>
  <si>
    <t>99P</t>
  </si>
  <si>
    <t>100P</t>
  </si>
  <si>
    <t>101P</t>
  </si>
  <si>
    <t>102P</t>
  </si>
  <si>
    <t>103K</t>
  </si>
  <si>
    <t>104K</t>
  </si>
  <si>
    <t>105P</t>
  </si>
  <si>
    <t>106K</t>
  </si>
  <si>
    <t>3 Days</t>
  </si>
  <si>
    <t>107K</t>
  </si>
  <si>
    <t>108K</t>
  </si>
  <si>
    <t>109K</t>
  </si>
  <si>
    <t>110K</t>
  </si>
  <si>
    <t>111K</t>
  </si>
  <si>
    <t>112K</t>
  </si>
  <si>
    <t>113K</t>
  </si>
  <si>
    <t>114P</t>
  </si>
  <si>
    <t>14 Days</t>
  </si>
  <si>
    <t>115K</t>
  </si>
  <si>
    <t>116K</t>
  </si>
  <si>
    <t>117K</t>
  </si>
  <si>
    <t>118K</t>
  </si>
  <si>
    <t>119P</t>
  </si>
  <si>
    <t>120P</t>
  </si>
  <si>
    <t>121P</t>
  </si>
  <si>
    <t>122K</t>
  </si>
  <si>
    <t>123K</t>
  </si>
  <si>
    <t>124P</t>
  </si>
  <si>
    <t>125P</t>
  </si>
  <si>
    <t>126K</t>
  </si>
  <si>
    <t>127K</t>
  </si>
  <si>
    <t>128K</t>
  </si>
  <si>
    <t>129K</t>
  </si>
  <si>
    <t>130P</t>
  </si>
  <si>
    <t>131P</t>
  </si>
  <si>
    <t>132K</t>
  </si>
  <si>
    <t>133K</t>
  </si>
  <si>
    <t>134K</t>
  </si>
  <si>
    <t>135K</t>
  </si>
  <si>
    <t>136K</t>
  </si>
  <si>
    <t>137K</t>
  </si>
  <si>
    <t>138P</t>
  </si>
  <si>
    <t>139P</t>
  </si>
  <si>
    <t>140K</t>
  </si>
  <si>
    <t>141K</t>
  </si>
  <si>
    <t>142P</t>
  </si>
  <si>
    <t>143P</t>
  </si>
  <si>
    <t>09/09/2021 et 20/09/2021</t>
  </si>
  <si>
    <t>144P</t>
  </si>
  <si>
    <t>145K</t>
  </si>
  <si>
    <t>146K</t>
  </si>
  <si>
    <t>147K</t>
  </si>
  <si>
    <t>148P</t>
  </si>
  <si>
    <t>149P</t>
  </si>
  <si>
    <t>150K</t>
  </si>
  <si>
    <t>151P</t>
  </si>
  <si>
    <t>152P</t>
  </si>
  <si>
    <t>153K</t>
  </si>
  <si>
    <t>154K</t>
  </si>
  <si>
    <t>155P</t>
  </si>
  <si>
    <t>156K</t>
  </si>
  <si>
    <t>157P</t>
  </si>
  <si>
    <t>158K</t>
  </si>
  <si>
    <t>159P</t>
  </si>
  <si>
    <t>160P</t>
  </si>
  <si>
    <t>161P</t>
  </si>
  <si>
    <t>162P</t>
  </si>
  <si>
    <t>163P</t>
  </si>
  <si>
    <t>164K</t>
  </si>
  <si>
    <t>165K</t>
  </si>
  <si>
    <t>166K</t>
  </si>
  <si>
    <t>167K</t>
  </si>
  <si>
    <t>168K</t>
  </si>
  <si>
    <t>169P</t>
  </si>
  <si>
    <t>170K</t>
  </si>
  <si>
    <t>171K</t>
  </si>
  <si>
    <t>172K</t>
  </si>
  <si>
    <t>173P</t>
  </si>
  <si>
    <t>174P</t>
  </si>
  <si>
    <t>175K</t>
  </si>
  <si>
    <t>176K</t>
  </si>
  <si>
    <t>177P</t>
  </si>
  <si>
    <t>178K</t>
  </si>
  <si>
    <t>179P</t>
  </si>
  <si>
    <t>180P</t>
  </si>
  <si>
    <t>181K</t>
  </si>
  <si>
    <t>182K</t>
  </si>
  <si>
    <t>183K</t>
  </si>
  <si>
    <t>184P</t>
  </si>
  <si>
    <t>185P</t>
  </si>
  <si>
    <t>186K</t>
  </si>
  <si>
    <t>187K</t>
  </si>
  <si>
    <t>188K</t>
  </si>
  <si>
    <t>189P</t>
  </si>
  <si>
    <t>190K</t>
  </si>
  <si>
    <t>191K</t>
  </si>
  <si>
    <t>192K</t>
  </si>
  <si>
    <t>193P</t>
  </si>
  <si>
    <t>194P</t>
  </si>
  <si>
    <t>195K</t>
  </si>
  <si>
    <t>196K</t>
  </si>
  <si>
    <t>197P</t>
  </si>
  <si>
    <t>198K</t>
  </si>
  <si>
    <t>199K</t>
  </si>
  <si>
    <t>200P</t>
  </si>
  <si>
    <t>201K</t>
  </si>
  <si>
    <t>202K</t>
  </si>
  <si>
    <t>203K</t>
  </si>
  <si>
    <t>204K</t>
  </si>
  <si>
    <t>205K</t>
  </si>
  <si>
    <t>206K</t>
  </si>
  <si>
    <t>207K</t>
  </si>
  <si>
    <t>208K</t>
  </si>
  <si>
    <t>209P</t>
  </si>
  <si>
    <t>210K</t>
  </si>
  <si>
    <t>211K</t>
  </si>
  <si>
    <t>212P</t>
  </si>
  <si>
    <t>213P</t>
  </si>
  <si>
    <t>214K</t>
  </si>
  <si>
    <t>215K</t>
  </si>
  <si>
    <t>216K</t>
  </si>
  <si>
    <t>217K</t>
  </si>
  <si>
    <t>218K</t>
  </si>
  <si>
    <t>219K</t>
  </si>
  <si>
    <t>220K</t>
  </si>
  <si>
    <t>221K</t>
  </si>
  <si>
    <t>222K</t>
  </si>
  <si>
    <t>223K</t>
  </si>
  <si>
    <t>224P</t>
  </si>
  <si>
    <t>225K</t>
  </si>
  <si>
    <t>226P</t>
  </si>
  <si>
    <t>227K</t>
  </si>
  <si>
    <t>228P</t>
  </si>
  <si>
    <t>229K</t>
  </si>
  <si>
    <t>230K</t>
  </si>
  <si>
    <t>235K</t>
  </si>
  <si>
    <t>FALSE CRAWL 2021</t>
  </si>
  <si>
    <t>Αποτυχημένες προσπάθειες</t>
  </si>
  <si>
    <t>ΘΕΣΗ</t>
  </si>
  <si>
    <t>ΗΜΕΡΜ</t>
  </si>
  <si>
    <t>ΑΡΙΘΜ.ΕΤΙΚΕΤΑΣ ΧΕΛΩΝΑΣ</t>
  </si>
  <si>
    <t>ΝΕΑ ΕΤΙΚΕΤΤΑ</t>
  </si>
  <si>
    <t>Προθάλαμος/</t>
  </si>
  <si>
    <t>FALSE CRAWL EVENT NUMBER</t>
  </si>
  <si>
    <t>LOCATION</t>
  </si>
  <si>
    <t>DATE</t>
  </si>
  <si>
    <t>TURTLE SEEN</t>
  </si>
  <si>
    <t>TIME TURTLE/TRACKS SEEN</t>
  </si>
  <si>
    <t>NEW TAG</t>
  </si>
  <si>
    <t>BODY PIT</t>
  </si>
  <si>
    <t>1FCP</t>
  </si>
  <si>
    <t>NO</t>
  </si>
  <si>
    <t>MORNING</t>
  </si>
  <si>
    <t>2FCP</t>
  </si>
  <si>
    <t>3FCK</t>
  </si>
  <si>
    <t>4FCK</t>
  </si>
  <si>
    <t>5FCP</t>
  </si>
  <si>
    <t>6FCK</t>
  </si>
  <si>
    <t>7FCK</t>
  </si>
  <si>
    <t>8FCP</t>
  </si>
  <si>
    <t>10FCK</t>
  </si>
  <si>
    <t>11FCK</t>
  </si>
  <si>
    <t>12FCK</t>
  </si>
  <si>
    <t>13FCP</t>
  </si>
  <si>
    <t>14FCK</t>
  </si>
  <si>
    <t>15FCK</t>
  </si>
  <si>
    <t>16FCK</t>
  </si>
  <si>
    <t>17FCP</t>
  </si>
  <si>
    <t>18FCK</t>
  </si>
  <si>
    <t>19FCK</t>
  </si>
  <si>
    <t>20FCK</t>
  </si>
  <si>
    <t>21FCK</t>
  </si>
  <si>
    <t>NIGHT</t>
  </si>
  <si>
    <t>22FCK</t>
  </si>
  <si>
    <t>23FCK</t>
  </si>
  <si>
    <t>24FCK</t>
  </si>
  <si>
    <t>25FCK</t>
  </si>
  <si>
    <t>26FCK</t>
  </si>
  <si>
    <t>29FCK</t>
  </si>
  <si>
    <t>30FCK</t>
  </si>
  <si>
    <t>31FCK</t>
  </si>
  <si>
    <t>34FCP</t>
  </si>
  <si>
    <t>37FCK</t>
  </si>
  <si>
    <t>39FCP</t>
  </si>
  <si>
    <t>43FCP</t>
  </si>
  <si>
    <t>44FCK</t>
  </si>
  <si>
    <t>45FCK</t>
  </si>
  <si>
    <t>46FCK</t>
  </si>
  <si>
    <t>47FCK</t>
  </si>
  <si>
    <t>48FCK</t>
  </si>
  <si>
    <t>49FCK</t>
  </si>
  <si>
    <t>50FCK</t>
  </si>
  <si>
    <t>51FCP</t>
  </si>
  <si>
    <t>52FCK</t>
  </si>
  <si>
    <t>57FCP</t>
  </si>
  <si>
    <t>58FCK</t>
  </si>
  <si>
    <t>59FCK</t>
  </si>
  <si>
    <t>60FCK</t>
  </si>
  <si>
    <t>61FCK</t>
  </si>
  <si>
    <t>64FCK</t>
  </si>
  <si>
    <t>65FCK</t>
  </si>
  <si>
    <t>67FCK</t>
  </si>
  <si>
    <t>68FCK</t>
  </si>
  <si>
    <t>69FCK</t>
  </si>
  <si>
    <t>70FCK</t>
  </si>
  <si>
    <t>71FCP</t>
  </si>
  <si>
    <t>72FCK</t>
  </si>
  <si>
    <t>73FCK</t>
  </si>
  <si>
    <t>74FCK</t>
  </si>
  <si>
    <t>INVESTIGATION 2021</t>
  </si>
  <si>
    <t>ΕΞΟΔΟΙ ΑΝΑΓΝΩΡΙΣΗΣ'</t>
  </si>
  <si>
    <t>INVESTIGATION ΕΧΙΤ NUMBER</t>
  </si>
  <si>
    <t>1IK</t>
  </si>
  <si>
    <t>2IK</t>
  </si>
  <si>
    <t>3IP</t>
  </si>
  <si>
    <t>4IP</t>
  </si>
  <si>
    <t>5IK</t>
  </si>
  <si>
    <t>6IP</t>
  </si>
  <si>
    <t>7IK</t>
  </si>
  <si>
    <t>8IK</t>
  </si>
  <si>
    <t>9IP</t>
  </si>
  <si>
    <t>10IK</t>
  </si>
  <si>
    <t>11IP</t>
  </si>
  <si>
    <t>12IK</t>
  </si>
  <si>
    <t>13IK</t>
  </si>
  <si>
    <t xml:space="preserve">Σταθερά σημάδια  ακτής    (Beach markers)   </t>
  </si>
  <si>
    <t>Αριθμός φωλιάς (Nest number )</t>
  </si>
  <si>
    <t>Αριθμός φωλιάς (False Crawl number )</t>
  </si>
  <si>
    <t>1 - 20</t>
  </si>
  <si>
    <t>21 - 40</t>
  </si>
  <si>
    <t>41 - 60</t>
  </si>
  <si>
    <t>61 - 80</t>
  </si>
  <si>
    <t>81 - 100</t>
  </si>
  <si>
    <t>101 - 120</t>
  </si>
  <si>
    <t>121 - 140</t>
  </si>
  <si>
    <t>141 - 160</t>
  </si>
  <si>
    <t>161 - 180</t>
  </si>
  <si>
    <t>Total Nests</t>
  </si>
  <si>
    <t>Total FC</t>
  </si>
  <si>
    <t>Total Investigation</t>
  </si>
  <si>
    <t>επωασθέντων/Incubated</t>
  </si>
  <si>
    <t>μη επωασθέντων/No incubated</t>
  </si>
  <si>
    <t>Incubated</t>
  </si>
  <si>
    <t>Hatched</t>
  </si>
  <si>
    <t>ΕΠΙ ΤΟΙΣ ΕΚΑΤΟ (%)</t>
  </si>
  <si>
    <t>Σύνολο  αριθμού  αυγών                                                                                                                                                                                                              (Eggs total number)</t>
  </si>
  <si>
    <t>Σύνολο αριθμού μη εκκολαφθέντων                                      (Total unhatched number)</t>
  </si>
  <si>
    <t>Location</t>
  </si>
  <si>
    <t>Νεκρά στην φωλιά                         (Dead in the nest)</t>
  </si>
  <si>
    <t>Nest Number</t>
  </si>
  <si>
    <t>Αναδυθέντα (Emerged)</t>
  </si>
  <si>
    <t>%</t>
  </si>
  <si>
    <r>
      <rPr>
        <b/>
        <sz val="6"/>
        <color theme="1"/>
        <rFont val="Verdana"/>
      </rPr>
      <t xml:space="preserve">Λέκιθος  αυγού χωρίς  ένδειξη κηλίδας ματιού </t>
    </r>
    <r>
      <rPr>
        <sz val="6"/>
        <color theme="1"/>
        <rFont val="Verdana"/>
      </rPr>
      <t xml:space="preserve">                                                            Yolked with non eye spot</t>
    </r>
  </si>
  <si>
    <r>
      <rPr>
        <b/>
        <sz val="6"/>
        <color theme="1"/>
        <rFont val="Verdana"/>
      </rPr>
      <t>Αναδυθέντα</t>
    </r>
    <r>
      <rPr>
        <sz val="6"/>
        <color theme="1"/>
        <rFont val="Verdana"/>
      </rPr>
      <t xml:space="preserve"> / Emerged hatchlings</t>
    </r>
  </si>
  <si>
    <r>
      <rPr>
        <b/>
        <sz val="6"/>
        <color theme="1"/>
        <rFont val="Verdana"/>
      </rPr>
      <t xml:space="preserve">Νεκρά στη φωλιά / </t>
    </r>
    <r>
      <rPr>
        <sz val="6"/>
        <color theme="1"/>
        <rFont val="Verdana"/>
      </rPr>
      <t>Not emerged hatchlings</t>
    </r>
  </si>
  <si>
    <r>
      <rPr>
        <b/>
        <sz val="6"/>
        <color rgb="FF000000"/>
        <rFont val="Verdana"/>
      </rPr>
      <t xml:space="preserve">Έμβρυα σε διάφορα στάδια ανάπτυξης    </t>
    </r>
    <r>
      <rPr>
        <sz val="6"/>
        <color rgb="FF000000"/>
        <rFont val="Verdana"/>
      </rPr>
      <t xml:space="preserve">                                                    / Number of hatched (Different levels of embryo  development)            </t>
    </r>
  </si>
  <si>
    <r>
      <rPr>
        <b/>
        <sz val="6"/>
        <color rgb="FF000000"/>
        <rFont val="Verdana"/>
      </rPr>
      <t xml:space="preserve">Αυγά ανώμαλης μορφολογίας / </t>
    </r>
    <r>
      <rPr>
        <sz val="6"/>
        <color rgb="FF000000"/>
        <rFont val="Verdana"/>
      </rPr>
      <t>Odd shaped</t>
    </r>
  </si>
  <si>
    <t>Eggs unaccounted for</t>
  </si>
  <si>
    <t>Eggs total</t>
  </si>
  <si>
    <r>
      <rPr>
        <b/>
        <sz val="8"/>
        <color rgb="FF000000"/>
        <rFont val="Verdana"/>
      </rPr>
      <t>Σ</t>
    </r>
    <r>
      <rPr>
        <b/>
        <sz val="6"/>
        <color rgb="FF000000"/>
        <rFont val="Verdana"/>
      </rPr>
      <t>ύνολο αριθμού  αυγών μη επωασθέντων (Eggs total non incubated number)</t>
    </r>
  </si>
  <si>
    <r>
      <rPr>
        <b/>
        <sz val="8"/>
        <color rgb="FF000000"/>
        <rFont val="Verdana"/>
      </rPr>
      <t>Σ</t>
    </r>
    <r>
      <rPr>
        <b/>
        <sz val="6"/>
        <color rgb="FF000000"/>
        <rFont val="Verdana"/>
      </rPr>
      <t xml:space="preserve">ύνολο αριθμού αυγών επωασθέντων (Eggs total incubated number) 
</t>
    </r>
  </si>
  <si>
    <t>Unaccounted for</t>
  </si>
  <si>
    <t xml:space="preserve">Αναδυθέντα (Εmergenced) </t>
  </si>
  <si>
    <t>Νεκρά στη φωλία
(Dead  in nest)</t>
  </si>
  <si>
    <t>Ζωντανά  στη φωλιά
(Alive  in nest)</t>
  </si>
  <si>
    <t>No incubated</t>
  </si>
  <si>
    <t>Λέκιθος αυγού χωρίς ένδειξη κηλίδας ματιού
Yolked non eye spot</t>
  </si>
  <si>
    <t xml:space="preserve">Αυγά ανώμαλης μορφολογίας   
  Abnormal Morphology
</t>
  </si>
  <si>
    <t>ΕΤΙΚΕΤΤΑ/ΤAG</t>
  </si>
  <si>
    <t>ΦΩΛΙΕΣ/NEST 2021</t>
  </si>
  <si>
    <t>ΘΕΣΗ ΦΩΛΙΑΣ                       /NEST LOCATION</t>
  </si>
  <si>
    <t>ΗΜΕΡΑ ΩΟΤΟΚΙΑΣ /LAYING DATE</t>
  </si>
  <si>
    <t>ΕΚΚΟΛΑΦΘΕΝΤΑ HATCHED</t>
  </si>
  <si>
    <t>ΜΗ ΕΚΚΟΛΑΦΘΕΝΤΑ UNHATCHED</t>
  </si>
  <si>
    <t>ΣΥΝΟΛΟ ΑΥΓΩΝ TOTAL EGGS</t>
  </si>
  <si>
    <t>117-118</t>
  </si>
  <si>
    <t>FALSE CRAWL NUMBER</t>
  </si>
  <si>
    <t>WEEKS</t>
  </si>
  <si>
    <t>WEEK NUMBER</t>
  </si>
  <si>
    <t>Πρώτο συμβάν αποτυχημένης προσπάθειας
(First false crawl event)  01/06/2021
Tελευταίο συμβάν αποτυχημένης προσπάθειας
(Last false crawl event)   31/07/2021</t>
  </si>
  <si>
    <t>Total</t>
  </si>
  <si>
    <t>False crawl</t>
  </si>
  <si>
    <t xml:space="preserve">Ποταμάκια/ Potomakia </t>
  </si>
  <si>
    <t>Καμίνα/ Kaminia</t>
  </si>
  <si>
    <t>Nest</t>
  </si>
  <si>
    <t>Investigation</t>
  </si>
  <si>
    <t>Non Nesting</t>
  </si>
  <si>
    <t>9FCK</t>
  </si>
  <si>
    <t>27FCK</t>
  </si>
  <si>
    <t>28FCK</t>
  </si>
  <si>
    <t>32FCP</t>
  </si>
  <si>
    <t>33FCP</t>
  </si>
  <si>
    <t>35FCP</t>
  </si>
  <si>
    <t>36FCP</t>
  </si>
  <si>
    <t>38FCK</t>
  </si>
  <si>
    <t>40FCK</t>
  </si>
  <si>
    <t>41FCK</t>
  </si>
  <si>
    <t>42FCK</t>
  </si>
  <si>
    <t>53FCP</t>
  </si>
  <si>
    <t>54FCP</t>
  </si>
  <si>
    <t>55FCP</t>
  </si>
  <si>
    <t>56FCP</t>
  </si>
  <si>
    <t>62FCK</t>
  </si>
  <si>
    <t>63FCK</t>
  </si>
  <si>
    <t>66FCK</t>
  </si>
  <si>
    <t>75FCK</t>
  </si>
  <si>
    <t>76FCK</t>
  </si>
  <si>
    <t>77FCK</t>
  </si>
  <si>
    <t>78FCK</t>
  </si>
  <si>
    <t>79FCK</t>
  </si>
  <si>
    <t>80FCP</t>
  </si>
  <si>
    <t>81FCK</t>
  </si>
  <si>
    <t>82FCP</t>
  </si>
  <si>
    <t>83FCK</t>
  </si>
  <si>
    <t>84FCK</t>
  </si>
  <si>
    <t>85FCP</t>
  </si>
  <si>
    <t>86FCP</t>
  </si>
  <si>
    <t>87FCK</t>
  </si>
  <si>
    <t>88FCK</t>
  </si>
  <si>
    <t>89FCP</t>
  </si>
  <si>
    <t>90FCP</t>
  </si>
  <si>
    <t>91FCK</t>
  </si>
  <si>
    <t>92FCK</t>
  </si>
  <si>
    <t>93FCP</t>
  </si>
  <si>
    <t>94FCK</t>
  </si>
  <si>
    <t>95FCK</t>
  </si>
  <si>
    <t>96FCK</t>
  </si>
  <si>
    <t>97FCK</t>
  </si>
  <si>
    <t>98FCP</t>
  </si>
  <si>
    <t>99FCK</t>
  </si>
  <si>
    <t>100FCK</t>
  </si>
  <si>
    <t>101FCK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</si>
</sst>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0.0"/>
  </numFmts>
  <fonts count="30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1"/>
      <name val="Calibri"/>
    </font>
    <font>
      <sz val="12"/>
      <color rgb="FF000000"/>
      <name val="Calibri"/>
    </font>
    <font>
      <b/>
      <i/>
      <u/>
      <sz val="12"/>
      <color theme="1"/>
      <name val="Calibri"/>
    </font>
    <font>
      <b/>
      <i/>
      <u/>
      <sz val="12"/>
      <color theme="1"/>
      <name val="Calibri"/>
    </font>
    <font>
      <b/>
      <i/>
      <u/>
      <sz val="12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b/>
      <sz val="6"/>
      <color theme="1"/>
      <name val="Arial"/>
    </font>
    <font>
      <sz val="11"/>
      <color theme="1"/>
      <name val="Arial"/>
    </font>
    <font>
      <b/>
      <sz val="11"/>
      <color rgb="FF000000"/>
      <name val="Calibri"/>
    </font>
    <font>
      <sz val="6"/>
      <color theme="1"/>
      <name val="Arial"/>
    </font>
    <font>
      <sz val="6"/>
      <color theme="1"/>
      <name val="Verdana"/>
    </font>
    <font>
      <sz val="12"/>
      <color rgb="FFFF0000"/>
      <name val="Calibri"/>
    </font>
    <font>
      <sz val="8"/>
      <color theme="1"/>
      <name val="Verdana"/>
    </font>
    <font>
      <sz val="11"/>
      <color theme="1"/>
      <name val="Calibri"/>
      <scheme val="minor"/>
    </font>
    <font>
      <sz val="11"/>
      <color rgb="FF000000"/>
      <name val="Inconsolata"/>
    </font>
    <font>
      <sz val="20"/>
      <color theme="1"/>
      <name val="Calibri"/>
    </font>
    <font>
      <sz val="11"/>
      <color theme="1"/>
      <name val="Roboto"/>
    </font>
    <font>
      <sz val="6"/>
      <color rgb="FF000000"/>
      <name val="Verdana"/>
    </font>
    <font>
      <b/>
      <sz val="8"/>
      <color rgb="FF000000"/>
      <name val="Verdana"/>
    </font>
    <font>
      <sz val="10"/>
      <color theme="1"/>
      <name val="Calibri"/>
    </font>
    <font>
      <sz val="11"/>
      <color rgb="FF000000"/>
      <name val="Roboto"/>
    </font>
    <font>
      <b/>
      <sz val="11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b/>
      <sz val="6"/>
      <color theme="1"/>
      <name val="Verdana"/>
    </font>
    <font>
      <b/>
      <sz val="6"/>
      <color rgb="FF000000"/>
      <name val="Verdana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CCFF"/>
        <bgColor rgb="FF00CCFF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339966"/>
        <bgColor rgb="FF339966"/>
      </patternFill>
    </fill>
    <fill>
      <patternFill patternType="solid">
        <fgColor rgb="FF00FF00"/>
        <bgColor rgb="FF00FF00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23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2" fillId="7" borderId="1" xfId="0" applyNumberFormat="1" applyFont="1" applyFill="1" applyBorder="1" applyAlignment="1">
      <alignment horizontal="center" wrapText="1"/>
    </xf>
    <xf numFmtId="1" fontId="2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7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2" fillId="1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1" fontId="9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/>
    <xf numFmtId="0" fontId="8" fillId="4" borderId="1" xfId="0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20" fontId="9" fillId="4" borderId="1" xfId="0" applyNumberFormat="1" applyFont="1" applyFill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left"/>
    </xf>
    <xf numFmtId="0" fontId="8" fillId="12" borderId="10" xfId="0" applyFont="1" applyFill="1" applyBorder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1" fontId="11" fillId="0" borderId="12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" fontId="11" fillId="0" borderId="14" xfId="0" applyNumberFormat="1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1" fontId="11" fillId="0" borderId="14" xfId="0" applyNumberFormat="1" applyFont="1" applyBorder="1" applyAlignment="1">
      <alignment horizontal="righ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" fontId="14" fillId="7" borderId="21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8" fillId="0" borderId="0" xfId="0" applyNumberFormat="1" applyFont="1"/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7" borderId="1" xfId="0" applyFont="1" applyFill="1" applyBorder="1" applyAlignment="1">
      <alignment horizontal="center" wrapText="1"/>
    </xf>
    <xf numFmtId="14" fontId="9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14" fontId="9" fillId="12" borderId="1" xfId="0" applyNumberFormat="1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0" xfId="0" applyFont="1"/>
    <xf numFmtId="0" fontId="8" fillId="7" borderId="10" xfId="0" applyFont="1" applyFill="1" applyBorder="1" applyAlignment="1">
      <alignment horizontal="center"/>
    </xf>
    <xf numFmtId="14" fontId="4" fillId="12" borderId="10" xfId="0" applyNumberFormat="1" applyFont="1" applyFill="1" applyBorder="1" applyAlignment="1">
      <alignment horizontal="left"/>
    </xf>
    <xf numFmtId="0" fontId="4" fillId="12" borderId="10" xfId="0" applyFont="1" applyFill="1" applyBorder="1" applyAlignment="1">
      <alignment horizontal="left"/>
    </xf>
    <xf numFmtId="0" fontId="15" fillId="12" borderId="10" xfId="0" applyFont="1" applyFill="1" applyBorder="1" applyAlignment="1">
      <alignment horizontal="left"/>
    </xf>
    <xf numFmtId="14" fontId="15" fillId="12" borderId="10" xfId="0" applyNumberFormat="1" applyFont="1" applyFill="1" applyBorder="1" applyAlignment="1">
      <alignment horizontal="left"/>
    </xf>
    <xf numFmtId="20" fontId="15" fillId="12" borderId="10" xfId="0" applyNumberFormat="1" applyFont="1" applyFill="1" applyBorder="1" applyAlignment="1">
      <alignment horizontal="left"/>
    </xf>
    <xf numFmtId="14" fontId="2" fillId="12" borderId="10" xfId="0" applyNumberFormat="1" applyFont="1" applyFill="1" applyBorder="1" applyAlignment="1">
      <alignment horizontal="left"/>
    </xf>
    <xf numFmtId="20" fontId="4" fillId="12" borderId="10" xfId="0" applyNumberFormat="1" applyFont="1" applyFill="1" applyBorder="1" applyAlignment="1">
      <alignment horizontal="left"/>
    </xf>
    <xf numFmtId="0" fontId="9" fillId="7" borderId="10" xfId="0" applyFont="1" applyFill="1" applyBorder="1" applyAlignment="1">
      <alignment horizontal="center"/>
    </xf>
    <xf numFmtId="49" fontId="9" fillId="7" borderId="10" xfId="0" applyNumberFormat="1" applyFont="1" applyFill="1" applyBorder="1" applyAlignment="1">
      <alignment horizontal="center"/>
    </xf>
    <xf numFmtId="14" fontId="9" fillId="7" borderId="10" xfId="0" applyNumberFormat="1" applyFont="1" applyFill="1" applyBorder="1" applyAlignment="1">
      <alignment horizontal="center"/>
    </xf>
    <xf numFmtId="20" fontId="9" fillId="7" borderId="10" xfId="0" applyNumberFormat="1" applyFont="1" applyFill="1" applyBorder="1" applyAlignment="1">
      <alignment horizontal="center"/>
    </xf>
    <xf numFmtId="49" fontId="8" fillId="7" borderId="10" xfId="0" applyNumberFormat="1" applyFont="1" applyFill="1" applyBorder="1" applyAlignment="1">
      <alignment horizontal="center"/>
    </xf>
    <xf numFmtId="20" fontId="8" fillId="7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16" fontId="14" fillId="7" borderId="22" xfId="0" applyNumberFormat="1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6" fillId="0" borderId="39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49" fontId="16" fillId="0" borderId="41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49" fontId="16" fillId="0" borderId="43" xfId="0" applyNumberFormat="1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1" fontId="9" fillId="0" borderId="42" xfId="0" applyNumberFormat="1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4" fillId="7" borderId="1" xfId="0" applyFont="1" applyFill="1" applyBorder="1"/>
    <xf numFmtId="0" fontId="16" fillId="0" borderId="1" xfId="0" applyFont="1" applyBorder="1" applyAlignment="1">
      <alignment horizontal="left" wrapText="1"/>
    </xf>
    <xf numFmtId="0" fontId="18" fillId="7" borderId="1" xfId="0" applyFont="1" applyFill="1" applyBorder="1"/>
    <xf numFmtId="165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8" fillId="7" borderId="10" xfId="0" applyFont="1" applyFill="1" applyBorder="1"/>
    <xf numFmtId="0" fontId="8" fillId="0" borderId="0" xfId="0" applyFont="1" applyAlignment="1">
      <alignment wrapText="1"/>
    </xf>
    <xf numFmtId="0" fontId="2" fillId="7" borderId="1" xfId="0" applyFont="1" applyFill="1" applyBorder="1"/>
    <xf numFmtId="0" fontId="2" fillId="0" borderId="1" xfId="0" applyFont="1" applyBorder="1" applyAlignment="1">
      <alignment wrapText="1"/>
    </xf>
    <xf numFmtId="0" fontId="18" fillId="7" borderId="1" xfId="0" applyFont="1" applyFill="1" applyBorder="1" applyAlignment="1">
      <alignment horizontal="center"/>
    </xf>
    <xf numFmtId="0" fontId="19" fillId="0" borderId="0" xfId="0" applyFont="1"/>
    <xf numFmtId="0" fontId="20" fillId="7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9" fillId="0" borderId="1" xfId="0" applyFont="1" applyBorder="1"/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/>
    </xf>
    <xf numFmtId="4" fontId="8" fillId="0" borderId="1" xfId="0" applyNumberFormat="1" applyFont="1" applyBorder="1"/>
    <xf numFmtId="0" fontId="22" fillId="0" borderId="1" xfId="0" applyFont="1" applyBorder="1" applyAlignment="1">
      <alignment horizontal="center" wrapText="1" readingOrder="1"/>
    </xf>
    <xf numFmtId="0" fontId="9" fillId="0" borderId="1" xfId="0" applyFont="1" applyBorder="1" applyAlignment="1">
      <alignment horizontal="center" wrapText="1" readingOrder="1"/>
    </xf>
    <xf numFmtId="0" fontId="8" fillId="12" borderId="1" xfId="0" applyFont="1" applyFill="1" applyBorder="1" applyAlignment="1">
      <alignment vertical="top" wrapText="1"/>
    </xf>
    <xf numFmtId="0" fontId="8" fillId="12" borderId="1" xfId="0" applyFont="1" applyFill="1" applyBorder="1"/>
    <xf numFmtId="4" fontId="8" fillId="12" borderId="1" xfId="0" applyNumberFormat="1" applyFont="1" applyFill="1" applyBorder="1"/>
    <xf numFmtId="4" fontId="8" fillId="0" borderId="1" xfId="0" applyNumberFormat="1" applyFont="1" applyBorder="1" applyAlignment="1">
      <alignment wrapText="1"/>
    </xf>
    <xf numFmtId="0" fontId="14" fillId="12" borderId="1" xfId="0" applyFont="1" applyFill="1" applyBorder="1" applyAlignment="1">
      <alignment horizontal="left" vertical="center" wrapText="1"/>
    </xf>
    <xf numFmtId="14" fontId="8" fillId="7" borderId="10" xfId="0" applyNumberFormat="1" applyFont="1" applyFill="1" applyBorder="1" applyAlignment="1">
      <alignment horizontal="center"/>
    </xf>
    <xf numFmtId="20" fontId="2" fillId="12" borderId="10" xfId="0" applyNumberFormat="1" applyFont="1" applyFill="1" applyBorder="1" applyAlignment="1">
      <alignment horizontal="left"/>
    </xf>
    <xf numFmtId="14" fontId="4" fillId="12" borderId="10" xfId="0" applyNumberFormat="1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14" fontId="20" fillId="0" borderId="1" xfId="0" applyNumberFormat="1" applyFont="1" applyBorder="1" applyAlignment="1">
      <alignment horizontal="center"/>
    </xf>
    <xf numFmtId="14" fontId="24" fillId="7" borderId="1" xfId="0" applyNumberFormat="1" applyFont="1" applyFill="1" applyBorder="1"/>
    <xf numFmtId="14" fontId="20" fillId="0" borderId="1" xfId="0" applyNumberFormat="1" applyFont="1" applyBorder="1"/>
    <xf numFmtId="0" fontId="16" fillId="0" borderId="46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14" fontId="20" fillId="0" borderId="5" xfId="0" applyNumberFormat="1" applyFont="1" applyBorder="1" applyAlignment="1">
      <alignment horizontal="center"/>
    </xf>
    <xf numFmtId="0" fontId="8" fillId="2" borderId="10" xfId="0" applyFont="1" applyFill="1" applyBorder="1"/>
    <xf numFmtId="0" fontId="16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1" xfId="0" applyFont="1" applyBorder="1"/>
    <xf numFmtId="0" fontId="27" fillId="0" borderId="1" xfId="0" applyFont="1" applyBorder="1"/>
    <xf numFmtId="0" fontId="26" fillId="0" borderId="1" xfId="0" applyFont="1" applyBorder="1" applyAlignment="1"/>
    <xf numFmtId="165" fontId="17" fillId="0" borderId="0" xfId="0" applyNumberFormat="1" applyFont="1"/>
    <xf numFmtId="0" fontId="2" fillId="5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2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" fillId="5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2" fillId="13" borderId="15" xfId="0" applyFont="1" applyFill="1" applyBorder="1" applyAlignment="1">
      <alignment horizontal="left" vertical="center"/>
    </xf>
    <xf numFmtId="0" fontId="3" fillId="0" borderId="16" xfId="0" applyFont="1" applyBorder="1"/>
    <xf numFmtId="0" fontId="3" fillId="0" borderId="17" xfId="0" applyFont="1" applyBorder="1"/>
    <xf numFmtId="0" fontId="13" fillId="0" borderId="20" xfId="0" applyFont="1" applyBorder="1" applyAlignment="1">
      <alignment horizontal="center" vertical="center" wrapText="1"/>
    </xf>
    <xf numFmtId="0" fontId="3" fillId="0" borderId="19" xfId="0" applyFont="1" applyBorder="1"/>
    <xf numFmtId="0" fontId="14" fillId="0" borderId="15" xfId="0" applyFont="1" applyBorder="1" applyAlignment="1">
      <alignment horizontal="center" vertical="center" wrapText="1"/>
    </xf>
    <xf numFmtId="0" fontId="3" fillId="0" borderId="25" xfId="0" applyFont="1" applyBorder="1"/>
    <xf numFmtId="0" fontId="12" fillId="13" borderId="32" xfId="0" applyFont="1" applyFill="1" applyBorder="1" applyAlignment="1">
      <alignment horizontal="left" vertical="center"/>
    </xf>
    <xf numFmtId="0" fontId="3" fillId="0" borderId="29" xfId="0" applyFont="1" applyBorder="1"/>
    <xf numFmtId="0" fontId="3" fillId="0" borderId="33" xfId="0" applyFont="1" applyBorder="1"/>
    <xf numFmtId="0" fontId="14" fillId="0" borderId="35" xfId="0" applyFont="1" applyBorder="1" applyAlignment="1">
      <alignment horizontal="center" vertical="center" wrapText="1"/>
    </xf>
    <xf numFmtId="0" fontId="3" fillId="0" borderId="34" xfId="0" applyFont="1" applyBorder="1"/>
    <xf numFmtId="0" fontId="23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Χωρική κατανομή φωλιών - ακτή Μούντας 2021
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Regional distribution of nests  -  Mounda beach 2021)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808080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383-4A2E-81E8-FDEC229C9490}"/>
              </c:ext>
            </c:extLst>
          </c:dPt>
          <c:dPt>
            <c:idx val="1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383-4A2E-81E8-FDEC229C9490}"/>
              </c:ext>
            </c:extLst>
          </c:dPt>
          <c:dPt>
            <c:idx val="2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383-4A2E-81E8-FDEC229C9490}"/>
              </c:ext>
            </c:extLst>
          </c:dPt>
          <c:dPt>
            <c:idx val="3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383-4A2E-81E8-FDEC229C9490}"/>
              </c:ext>
            </c:extLst>
          </c:dPt>
          <c:dPt>
            <c:idx val="4"/>
            <c:invertIfNegative val="1"/>
            <c:bubble3D val="0"/>
            <c:spPr>
              <a:solidFill>
                <a:srgbClr val="99CC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383-4A2E-81E8-FDEC229C9490}"/>
              </c:ext>
            </c:extLst>
          </c:dPt>
          <c:dPt>
            <c:idx val="5"/>
            <c:invertIfNegative val="1"/>
            <c:bubble3D val="0"/>
            <c:spPr>
              <a:solidFill>
                <a:srgbClr val="0B5394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383-4A2E-81E8-FDEC229C9490}"/>
              </c:ext>
            </c:extLst>
          </c:dPt>
          <c:dPt>
            <c:idx val="6"/>
            <c:invertIfNegative val="1"/>
            <c:bubble3D val="0"/>
            <c:spPr>
              <a:solidFill>
                <a:srgbClr val="0B5394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383-4A2E-81E8-FDEC229C9490}"/>
              </c:ext>
            </c:extLst>
          </c:dPt>
          <c:dPt>
            <c:idx val="7"/>
            <c:invertIfNegative val="1"/>
            <c:bubble3D val="0"/>
            <c:spPr>
              <a:solidFill>
                <a:srgbClr val="0B5394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383-4A2E-81E8-FDEC229C9490}"/>
              </c:ext>
            </c:extLst>
          </c:dPt>
          <c:cat>
            <c:strRef>
              <c:f>'ΚΑΤΑΝΟΜΗ ΦΩΛΙΩΝ- REGIONAL NEST'!$A$2:$A$10</c:f>
              <c:strCache>
                <c:ptCount val="9"/>
                <c:pt idx="0">
                  <c:v>1 - 20</c:v>
                </c:pt>
                <c:pt idx="1">
                  <c:v>21 - 40</c:v>
                </c:pt>
                <c:pt idx="2">
                  <c:v>41 - 60</c:v>
                </c:pt>
                <c:pt idx="3">
                  <c:v>61 - 80</c:v>
                </c:pt>
                <c:pt idx="4">
                  <c:v>81 - 100</c:v>
                </c:pt>
                <c:pt idx="5">
                  <c:v>101 - 120</c:v>
                </c:pt>
                <c:pt idx="6">
                  <c:v>121 - 140</c:v>
                </c:pt>
                <c:pt idx="7">
                  <c:v>141 - 160</c:v>
                </c:pt>
                <c:pt idx="8">
                  <c:v>161 - 180</c:v>
                </c:pt>
              </c:strCache>
            </c:strRef>
          </c:cat>
          <c:val>
            <c:numRef>
              <c:f>'ΚΑΤΑΝΟΜΗ ΦΩΛΙΩΝ- REGIONAL NEST'!$B$2:$B$10</c:f>
              <c:numCache>
                <c:formatCode>0</c:formatCode>
                <c:ptCount val="9"/>
                <c:pt idx="0" formatCode="General">
                  <c:v>44</c:v>
                </c:pt>
                <c:pt idx="1">
                  <c:v>45</c:v>
                </c:pt>
                <c:pt idx="2">
                  <c:v>34</c:v>
                </c:pt>
                <c:pt idx="3">
                  <c:v>11</c:v>
                </c:pt>
                <c:pt idx="4">
                  <c:v>6</c:v>
                </c:pt>
                <c:pt idx="5">
                  <c:v>24</c:v>
                </c:pt>
                <c:pt idx="6">
                  <c:v>22</c:v>
                </c:pt>
                <c:pt idx="7">
                  <c:v>45</c:v>
                </c:pt>
                <c:pt idx="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0-E383-4A2E-81E8-FDEC229C9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9337329"/>
        <c:axId val="170329182"/>
        <c:axId val="0"/>
      </c:bar3DChart>
      <c:catAx>
        <c:axId val="14193373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Σταθερά σημάδια ακτής 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Beach markers)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70329182"/>
        <c:crosses val="autoZero"/>
        <c:auto val="1"/>
        <c:lblAlgn val="ctr"/>
        <c:lblOffset val="100"/>
        <c:noMultiLvlLbl val="1"/>
      </c:catAx>
      <c:valAx>
        <c:axId val="1703291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Αριθμός φωλιάς 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 number)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419337329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Κατηγοριοποίηση  περιεχομένου φωλιών - ακτή Μούντας 2021
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Categ</a:t>
            </a:r>
            <a:r>
              <a:rPr lang="el-GR" sz="1000" b="0" i="0">
                <a:solidFill>
                  <a:srgbClr val="000000"/>
                </a:solidFill>
                <a:latin typeface="+mn-lt"/>
              </a:rPr>
              <a:t>ο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rizing nests contents - Mounda beach 2021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CCCCCC"/>
              </a:solidFill>
            </c:spPr>
            <c:extLst>
              <c:ext xmlns:c16="http://schemas.microsoft.com/office/drawing/2014/chart" uri="{C3380CC4-5D6E-409C-BE32-E72D297353CC}">
                <c16:uniqueId val="{00000001-A192-4000-B6B2-3FB7B58703DF}"/>
              </c:ext>
            </c:extLst>
          </c:dPt>
          <c:dPt>
            <c:idx val="1"/>
            <c:bubble3D val="0"/>
            <c:spPr>
              <a:solidFill>
                <a:srgbClr val="6AA84F"/>
              </a:solidFill>
            </c:spPr>
            <c:extLst>
              <c:ext xmlns:c16="http://schemas.microsoft.com/office/drawing/2014/chart" uri="{C3380CC4-5D6E-409C-BE32-E72D297353CC}">
                <c16:uniqueId val="{00000003-A192-4000-B6B2-3FB7B58703DF}"/>
              </c:ext>
            </c:extLst>
          </c:dPt>
          <c:dPt>
            <c:idx val="2"/>
            <c:bubble3D val="0"/>
            <c:spPr>
              <a:solidFill>
                <a:srgbClr val="C27BA0"/>
              </a:solidFill>
            </c:spPr>
            <c:extLst>
              <c:ext xmlns:c16="http://schemas.microsoft.com/office/drawing/2014/chart" uri="{C3380CC4-5D6E-409C-BE32-E72D297353CC}">
                <c16:uniqueId val="{00000005-A192-4000-B6B2-3FB7B58703DF}"/>
              </c:ext>
            </c:extLst>
          </c:dPt>
          <c:dPt>
            <c:idx val="3"/>
            <c:bubble3D val="0"/>
            <c:spPr>
              <a:solidFill>
                <a:srgbClr val="FF8080"/>
              </a:solidFill>
            </c:spPr>
            <c:extLst>
              <c:ext xmlns:c16="http://schemas.microsoft.com/office/drawing/2014/chart" uri="{C3380CC4-5D6E-409C-BE32-E72D297353CC}">
                <c16:uniqueId val="{00000007-A192-4000-B6B2-3FB7B58703DF}"/>
              </c:ext>
            </c:extLst>
          </c:dPt>
          <c:dPt>
            <c:idx val="4"/>
            <c:bubble3D val="0"/>
            <c:spPr>
              <a:solidFill>
                <a:srgbClr val="CC0000"/>
              </a:solidFill>
            </c:spPr>
            <c:extLst>
              <c:ext xmlns:c16="http://schemas.microsoft.com/office/drawing/2014/chart" uri="{C3380CC4-5D6E-409C-BE32-E72D297353CC}">
                <c16:uniqueId val="{00000009-A192-4000-B6B2-3FB7B58703DF}"/>
              </c:ext>
            </c:extLst>
          </c:dPt>
          <c:dPt>
            <c:idx val="5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B-A192-4000-B6B2-3FB7B58703D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'ΠΕΡΙΕΧΟΜ ΦΩΛΙΑΣ-NEST CONTENT  '!$A$2:$A$7</c:f>
              <c:strCache>
                <c:ptCount val="6"/>
                <c:pt idx="0">
                  <c:v>Λέκιθος  αυγού χωρίς  ένδειξη κηλίδας ματιού                                                             Yolked with non eye spot</c:v>
                </c:pt>
                <c:pt idx="1">
                  <c:v>Αναδυθέντα / Emerged hatchlings</c:v>
                </c:pt>
                <c:pt idx="2">
                  <c:v>Νεκρά στη φωλιά / Not emerged hatchlings</c:v>
                </c:pt>
                <c:pt idx="3">
                  <c:v>Έμβρυα σε διάφορα στάδια ανάπτυξης                                                        / Number of hatched (Different levels of embryo  development)            </c:v>
                </c:pt>
                <c:pt idx="4">
                  <c:v>Αυγά ανώμαλης μορφολογίας / Odd shaped</c:v>
                </c:pt>
                <c:pt idx="5">
                  <c:v>Eggs unaccounted for</c:v>
                </c:pt>
              </c:strCache>
            </c:strRef>
          </c:cat>
          <c:val>
            <c:numRef>
              <c:f>'ΠΕΡΙΕΧΟΜ ΦΩΛΙΑΣ-NEST CONTENT  '!$C$2:$C$7</c:f>
              <c:numCache>
                <c:formatCode>General</c:formatCode>
                <c:ptCount val="6"/>
                <c:pt idx="0">
                  <c:v>11.069171348314606</c:v>
                </c:pt>
                <c:pt idx="1">
                  <c:v>80.380969101123597</c:v>
                </c:pt>
                <c:pt idx="2">
                  <c:v>3.5024578651685392</c:v>
                </c:pt>
                <c:pt idx="3">
                  <c:v>0.7461376404494382</c:v>
                </c:pt>
                <c:pt idx="4">
                  <c:v>1.307935393258427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92-4000-B6B2-3FB7B587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Roboto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Σύνολο αριθμού αυγών
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Eggs total number)= 11330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B6D7A8"/>
              </a:solidFill>
            </c:spPr>
            <c:extLst>
              <c:ext xmlns:c16="http://schemas.microsoft.com/office/drawing/2014/chart" uri="{C3380CC4-5D6E-409C-BE32-E72D297353CC}">
                <c16:uniqueId val="{00000001-F08D-49D5-920E-E29CB05DD83D}"/>
              </c:ext>
            </c:extLst>
          </c:dPt>
          <c:dPt>
            <c:idx val="1"/>
            <c:bubble3D val="0"/>
            <c:spPr>
              <a:solidFill>
                <a:srgbClr val="6AA84F"/>
              </a:solidFill>
            </c:spPr>
            <c:extLst>
              <c:ext xmlns:c16="http://schemas.microsoft.com/office/drawing/2014/chart" uri="{C3380CC4-5D6E-409C-BE32-E72D297353CC}">
                <c16:uniqueId val="{00000003-F08D-49D5-920E-E29CB05DD83D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</c:spPr>
            <c:extLst>
              <c:ext xmlns:c16="http://schemas.microsoft.com/office/drawing/2014/chart" uri="{C3380CC4-5D6E-409C-BE32-E72D297353CC}">
                <c16:uniqueId val="{00000005-F08D-49D5-920E-E29CB05DD83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'ΠΕΡΙΕΧΟΜ ΦΩΛΙΑΣ-NEST CONTENT  '!$A$22:$A$24</c:f>
              <c:strCache>
                <c:ptCount val="3"/>
                <c:pt idx="0">
                  <c:v>Σύνολο αριθμού  αυγών μη επωασθέντων (Eggs total non incubated number)</c:v>
                </c:pt>
                <c:pt idx="1">
                  <c:v>Σύνολο αριθμού αυγών επωασθέντων (Eggs total incubated number) 
</c:v>
                </c:pt>
                <c:pt idx="2">
                  <c:v>Unaccounted for</c:v>
                </c:pt>
              </c:strCache>
            </c:strRef>
          </c:cat>
          <c:val>
            <c:numRef>
              <c:f>'ΠΕΡΙΕΧΟΜ ΦΩΛΙΑΣ-NEST CONTENT  '!$C$22:$C$24</c:f>
              <c:numCache>
                <c:formatCode>#,##0.00</c:formatCode>
                <c:ptCount val="3"/>
                <c:pt idx="0">
                  <c:v>12.561446629213483</c:v>
                </c:pt>
                <c:pt idx="1">
                  <c:v>89.159058988764045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8D-49D5-920E-E29CB05DD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Σύνολο αριθμού  εκκολαφθέντων (άδεια κελύφη)
  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Hatched  total number)=9612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B735-4E1C-A148-205D3BEFE5DC}"/>
              </c:ext>
            </c:extLst>
          </c:dPt>
          <c:dPt>
            <c:idx val="1"/>
            <c:bubble3D val="0"/>
            <c:spPr>
              <a:solidFill>
                <a:srgbClr val="9999FF"/>
              </a:solidFill>
            </c:spPr>
            <c:extLst>
              <c:ext xmlns:c16="http://schemas.microsoft.com/office/drawing/2014/chart" uri="{C3380CC4-5D6E-409C-BE32-E72D297353CC}">
                <c16:uniqueId val="{00000003-B735-4E1C-A148-205D3BEFE5DC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B735-4E1C-A148-205D3BEFE5D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'ΠΕΡΙΕΧΟΜ ΦΩΛΙΑΣ-NEST CONTENT  '!$C$39:$C$41</c:f>
              <c:numCache>
                <c:formatCode>#,##0.00</c:formatCode>
                <c:ptCount val="3"/>
                <c:pt idx="0">
                  <c:v>94.753725165562912</c:v>
                </c:pt>
                <c:pt idx="1">
                  <c:v>4.1287251655629138</c:v>
                </c:pt>
                <c:pt idx="2">
                  <c:v>6.7570364238410594</c:v>
                </c:pt>
              </c:numCache>
            </c:numRef>
          </c:cat>
          <c:val>
            <c:numRef>
              <c:f>'ΠΕΡΙΕΧΟΜ ΦΩΛΙΑΣ-NEST CONTENT  '!$B$39:$B$41</c:f>
              <c:numCache>
                <c:formatCode>General</c:formatCode>
                <c:ptCount val="3"/>
                <c:pt idx="0">
                  <c:v>9157</c:v>
                </c:pt>
                <c:pt idx="1">
                  <c:v>399</c:v>
                </c:pt>
                <c:pt idx="2">
                  <c:v>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35-4E1C-A148-205D3BEFE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sz="1000" b="0" i="0">
                <a:solidFill>
                  <a:srgbClr val="000000"/>
                </a:solidFill>
                <a:latin typeface="+mn-lt"/>
              </a:rPr>
              <a:t>Σύνολο αριθμού μη επωασθέντων αυγών  
Non incubated  eggs total number= 1044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666699"/>
              </a:solidFill>
            </c:spPr>
            <c:extLst>
              <c:ext xmlns:c16="http://schemas.microsoft.com/office/drawing/2014/chart" uri="{C3380CC4-5D6E-409C-BE32-E72D297353CC}">
                <c16:uniqueId val="{00000001-01E8-4033-AFB0-71F8A742734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</c:spPr>
            <c:extLst>
              <c:ext xmlns:c16="http://schemas.microsoft.com/office/drawing/2014/chart" uri="{C3380CC4-5D6E-409C-BE32-E72D297353CC}">
                <c16:uniqueId val="{00000003-01E8-4033-AFB0-71F8A742734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'ΠΕΡΙΕΧΟΜ ΦΩΛΙΑΣ-NEST CONTENT  '!$A$61:$A$62</c:f>
              <c:strCache>
                <c:ptCount val="2"/>
                <c:pt idx="0">
                  <c:v>Λέκιθος αυγού χωρίς ένδειξη κηλίδας ματιού
Yolked non eye spot</c:v>
                </c:pt>
                <c:pt idx="1">
                  <c:v>Αυγά ανώμαλης μορφολογίας   
  Abnormal Morphology
</c:v>
                </c:pt>
              </c:strCache>
            </c:strRef>
          </c:cat>
          <c:val>
            <c:numRef>
              <c:f>'ΠΕΡΙΕΧΟΜ ΦΩΛΙΑΣ-NEST CONTENT  '!$C$61:$C$62</c:f>
              <c:numCache>
                <c:formatCode>General</c:formatCode>
                <c:ptCount val="2"/>
                <c:pt idx="0" formatCode="#,##0.00">
                  <c:v>97.766497461928935</c:v>
                </c:pt>
                <c:pt idx="1">
                  <c:v>15.126903553299492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E8-4033-AFB0-71F8A7427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Αριθμός αποτυχημένων προσπαθειών ωοτοκίας  αναά εβδομάδα -ακτήΜούντας  2021
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Number of false crawl s per week during nesting season - Mounda beach 2021)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cmpd="sng">
              <a:solidFill>
                <a:srgbClr val="000000"/>
              </a:solidFill>
            </a:ln>
          </c:spPr>
          <c:invertIfNegative val="1"/>
          <c:cat>
            <c:numRef>
              <c:f>'FALSE CRAWLS PEAKS '!$D$2:$D$13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'FALSE CRAWLS PEAKS '!$A$2:$A$13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20</c:v>
                </c:pt>
                <c:pt idx="3">
                  <c:v>17</c:v>
                </c:pt>
                <c:pt idx="4">
                  <c:v>12</c:v>
                </c:pt>
                <c:pt idx="5">
                  <c:v>5</c:v>
                </c:pt>
                <c:pt idx="6">
                  <c:v>18</c:v>
                </c:pt>
                <c:pt idx="7">
                  <c:v>15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121-44EF-BAEA-A39CBBA99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649949"/>
        <c:axId val="1126042592"/>
      </c:barChart>
      <c:catAx>
        <c:axId val="15116499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Περίοδος ωοτοκίας - εβδομάδες / 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Nesting season weeks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126042592"/>
        <c:crosses val="autoZero"/>
        <c:auto val="1"/>
        <c:lblAlgn val="ctr"/>
        <c:lblOffset val="100"/>
        <c:noMultiLvlLbl val="1"/>
      </c:catAx>
      <c:valAx>
        <c:axId val="11260425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Αποτυχημένες προσπάθειες/ 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False crawls event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511649949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Αριθμός αποτυχημένων προσπαθειών ωοτοκίας  ανά εβδομάδα - ακτή Μούντας 2021
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Number of false crawls per week during nesting season - Mounda 2021)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6.2507506085499126E-2"/>
          <c:y val="0.14231738035264482"/>
          <c:w val="0.78269449174935968"/>
          <c:h val="0.67418136020151131"/>
        </c:manualLayout>
      </c:layout>
      <c:barChart>
        <c:barDir val="col"/>
        <c:grouping val="clustered"/>
        <c:varyColors val="1"/>
        <c:ser>
          <c:idx val="0"/>
          <c:order val="0"/>
          <c:tx>
            <c:v>NEST NUMBER</c:v>
          </c:tx>
          <c:spPr>
            <a:solidFill>
              <a:srgbClr val="4A86E8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'NEST &amp;FALSE-C EVENT '!$E$2:$E$13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'NEST &amp;FALSE-C EVENT '!$A$2:$A$14</c:f>
              <c:numCache>
                <c:formatCode>General</c:formatCode>
                <c:ptCount val="13"/>
                <c:pt idx="0">
                  <c:v>7</c:v>
                </c:pt>
                <c:pt idx="1">
                  <c:v>11</c:v>
                </c:pt>
                <c:pt idx="2">
                  <c:v>18</c:v>
                </c:pt>
                <c:pt idx="3">
                  <c:v>24</c:v>
                </c:pt>
                <c:pt idx="4">
                  <c:v>32</c:v>
                </c:pt>
                <c:pt idx="5">
                  <c:v>36</c:v>
                </c:pt>
                <c:pt idx="6">
                  <c:v>45</c:v>
                </c:pt>
                <c:pt idx="7">
                  <c:v>20</c:v>
                </c:pt>
                <c:pt idx="8">
                  <c:v>23</c:v>
                </c:pt>
                <c:pt idx="9">
                  <c:v>3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422-45EF-85B5-7A6EC3E5FCD6}"/>
            </c:ext>
          </c:extLst>
        </c:ser>
        <c:ser>
          <c:idx val="1"/>
          <c:order val="1"/>
          <c:tx>
            <c:v>FALSE CRAWL NUMBER</c:v>
          </c:tx>
          <c:spPr>
            <a:solidFill>
              <a:srgbClr val="FF990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/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'NEST &amp;FALSE-C EVENT '!$E$2:$E$13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'NEST &amp;FALSE-C EVENT '!$B$2:$B$13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20</c:v>
                </c:pt>
                <c:pt idx="3">
                  <c:v>17</c:v>
                </c:pt>
                <c:pt idx="4">
                  <c:v>12</c:v>
                </c:pt>
                <c:pt idx="5">
                  <c:v>5</c:v>
                </c:pt>
                <c:pt idx="6">
                  <c:v>18</c:v>
                </c:pt>
                <c:pt idx="7">
                  <c:v>15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422-45EF-85B5-7A6EC3E5F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391909"/>
        <c:axId val="645701248"/>
      </c:barChart>
      <c:catAx>
        <c:axId val="11253919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400" b="0" i="0">
                    <a:solidFill>
                      <a:srgbClr val="000000"/>
                    </a:solidFill>
                    <a:latin typeface="+mn-lt"/>
                  </a:rPr>
                  <a:t>Εβδομάδες περιόδου ωοτοκίας/(</a:t>
                </a:r>
                <a:r>
                  <a:rPr lang="fr-FR" sz="1400" b="0" i="0">
                    <a:solidFill>
                      <a:srgbClr val="000000"/>
                    </a:solidFill>
                    <a:latin typeface="+mn-lt"/>
                  </a:rPr>
                  <a:t>Nesting season weeks)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645701248"/>
        <c:crosses val="autoZero"/>
        <c:auto val="1"/>
        <c:lblAlgn val="ctr"/>
        <c:lblOffset val="100"/>
        <c:noMultiLvlLbl val="1"/>
      </c:catAx>
      <c:valAx>
        <c:axId val="6457012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4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400" b="0" i="0">
                    <a:solidFill>
                      <a:srgbClr val="000000"/>
                    </a:solidFill>
                    <a:latin typeface="+mn-lt"/>
                  </a:rPr>
                  <a:t>Φωλιές και συμβάντα αποτυχημένων προσπαθειών/</a:t>
                </a:r>
                <a:r>
                  <a:rPr lang="fr-FR" sz="1400" b="0" i="0">
                    <a:solidFill>
                      <a:srgbClr val="000000"/>
                    </a:solidFill>
                    <a:latin typeface="+mn-lt"/>
                  </a:rPr>
                  <a:t>Nest &amp; false crawls event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12539190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Χωρική κατανομή αποτυχημένων προσπαθειών ωοτοκίας-ακτή Μούντας 2021
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Spatial distribution of  false crawls - Mounda beach 2021)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D966"/>
              </a:solidFill>
            </c:spPr>
            <c:extLst>
              <c:ext xmlns:c16="http://schemas.microsoft.com/office/drawing/2014/chart" uri="{C3380CC4-5D6E-409C-BE32-E72D297353CC}">
                <c16:uniqueId val="{00000001-97F0-4A36-8790-409676F37EE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="0">
                        <a:solidFill>
                          <a:srgbClr val="000000"/>
                        </a:solidFill>
                        <a:latin typeface="+mn-lt"/>
                      </a:rPr>
                      <a:t>27,7% - 28 FC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7F0-4A36-8790-409676F37EE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0">
                        <a:solidFill>
                          <a:srgbClr val="000000"/>
                        </a:solidFill>
                        <a:latin typeface="+mn-lt"/>
                      </a:rPr>
                      <a:t>72,3% - 73 FC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7F0-4A36-8790-409676F37EE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'ΧΩΡΙΚΗ ΚΑΤΑΝΟΜΗ DISTRIBUTION '!$A$4:$B$4</c:f>
              <c:strCache>
                <c:ptCount val="2"/>
                <c:pt idx="0">
                  <c:v>Ποταμάκια/ Potomakia </c:v>
                </c:pt>
                <c:pt idx="1">
                  <c:v>Καμίνα/ Kaminia</c:v>
                </c:pt>
              </c:strCache>
            </c:strRef>
          </c:cat>
          <c:val>
            <c:numRef>
              <c:f>'ΧΩΡΙΚΗ ΚΑΤΑΝΟΜΗ DISTRIBUTION '!$A$5:$B$5</c:f>
              <c:numCache>
                <c:formatCode>General</c:formatCode>
                <c:ptCount val="2"/>
                <c:pt idx="0">
                  <c:v>28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F0-4A36-8790-409676F37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Χωρική κατανομή φωλιών - ακτή Μούντας 2021
(Ν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ests spatial distribution - Mounda beach 2021)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1155CC"/>
              </a:solidFill>
            </c:spPr>
            <c:extLst>
              <c:ext xmlns:c16="http://schemas.microsoft.com/office/drawing/2014/chart" uri="{C3380CC4-5D6E-409C-BE32-E72D297353CC}">
                <c16:uniqueId val="{00000001-3F4C-480C-B157-5595191B440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="0">
                        <a:solidFill>
                          <a:srgbClr val="000000"/>
                        </a:solidFill>
                        <a:latin typeface="+mn-lt"/>
                      </a:rPr>
                      <a:t>37,4% - 88 Nests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F4C-480C-B157-5595191B440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0">
                        <a:solidFill>
                          <a:srgbClr val="000000"/>
                        </a:solidFill>
                        <a:latin typeface="+mn-lt"/>
                      </a:rPr>
                      <a:t>62,6% - 147 Nests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F4C-480C-B157-5595191B440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'ΧΩΡΙΚΗ ΚΑΤΑΝΟΜΗ DISTRIBUTION '!$A$10:$B$10</c:f>
              <c:numCache>
                <c:formatCode>General</c:formatCode>
                <c:ptCount val="2"/>
                <c:pt idx="0">
                  <c:v>88</c:v>
                </c:pt>
                <c:pt idx="1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C-480C-B157-5595191B4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 rt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fr-FR" sz="1000" b="0" i="0">
                <a:solidFill>
                  <a:srgbClr val="000000"/>
                </a:solidFill>
                <a:latin typeface="+mn-lt"/>
              </a:rPr>
              <a:t>(Regional distribution of  False Crawls  -  Mounda beach 2021)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'ΚΑΤΑΝΟΜΗ ΦΩΛΙΩΝ- REGIONAL NEST'!$E$1</c:f>
              <c:strCache>
                <c:ptCount val="1"/>
                <c:pt idx="0">
                  <c:v>Αριθμός φωλιάς (False Crawl number )</c:v>
                </c:pt>
              </c:strCache>
            </c:strRef>
          </c:tx>
          <c:spPr>
            <a:solidFill>
              <a:srgbClr val="808080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D94-4ED9-9A2C-03B2D8BBBC3D}"/>
              </c:ext>
            </c:extLst>
          </c:dPt>
          <c:dPt>
            <c:idx val="1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D94-4ED9-9A2C-03B2D8BBBC3D}"/>
              </c:ext>
            </c:extLst>
          </c:dPt>
          <c:dPt>
            <c:idx val="2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D94-4ED9-9A2C-03B2D8BBBC3D}"/>
              </c:ext>
            </c:extLst>
          </c:dPt>
          <c:dPt>
            <c:idx val="3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D94-4ED9-9A2C-03B2D8BBBC3D}"/>
              </c:ext>
            </c:extLst>
          </c:dPt>
          <c:dPt>
            <c:idx val="4"/>
            <c:invertIfNegative val="1"/>
            <c:bubble3D val="0"/>
            <c:spPr>
              <a:solidFill>
                <a:srgbClr val="F9CB9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D94-4ED9-9A2C-03B2D8BBBC3D}"/>
              </c:ext>
            </c:extLst>
          </c:dPt>
          <c:dPt>
            <c:idx val="5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D94-4ED9-9A2C-03B2D8BBBC3D}"/>
              </c:ext>
            </c:extLst>
          </c:dPt>
          <c:dPt>
            <c:idx val="6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D94-4ED9-9A2C-03B2D8BBBC3D}"/>
              </c:ext>
            </c:extLst>
          </c:dPt>
          <c:dPt>
            <c:idx val="7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D94-4ED9-9A2C-03B2D8BBBC3D}"/>
              </c:ext>
            </c:extLst>
          </c:dPt>
          <c:cat>
            <c:strRef>
              <c:f>'ΚΑΤΑΝΟΜΗ ΦΩΛΙΩΝ- REGIONAL NEST'!$D$2:$D$10</c:f>
              <c:strCache>
                <c:ptCount val="9"/>
                <c:pt idx="0">
                  <c:v>1 - 20</c:v>
                </c:pt>
                <c:pt idx="1">
                  <c:v>21 - 40</c:v>
                </c:pt>
                <c:pt idx="2">
                  <c:v>41 - 60</c:v>
                </c:pt>
                <c:pt idx="3">
                  <c:v>61 - 80</c:v>
                </c:pt>
                <c:pt idx="4">
                  <c:v>81 - 100</c:v>
                </c:pt>
                <c:pt idx="5">
                  <c:v>101 - 120</c:v>
                </c:pt>
                <c:pt idx="6">
                  <c:v>121 - 140</c:v>
                </c:pt>
                <c:pt idx="7">
                  <c:v>141 - 160</c:v>
                </c:pt>
                <c:pt idx="8">
                  <c:v>161 - 180</c:v>
                </c:pt>
              </c:strCache>
            </c:strRef>
          </c:cat>
          <c:val>
            <c:numRef>
              <c:f>'ΚΑΤΑΝΟΜΗ ΦΩΛΙΩΝ- REGIONAL NEST'!$E$2:$E$10</c:f>
              <c:numCache>
                <c:formatCode>0</c:formatCode>
                <c:ptCount val="9"/>
                <c:pt idx="0" formatCode="General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16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0-2D94-4ED9-9A2C-03B2D8BBB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053345"/>
        <c:axId val="1996290487"/>
        <c:axId val="0"/>
      </c:bar3DChart>
      <c:catAx>
        <c:axId val="1850533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Σταθερά σημάδια ακτής 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Beach markers)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996290487"/>
        <c:crosses val="autoZero"/>
        <c:auto val="1"/>
        <c:lblAlgn val="ctr"/>
        <c:lblOffset val="100"/>
        <c:noMultiLvlLbl val="1"/>
      </c:catAx>
      <c:valAx>
        <c:axId val="19962904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Αριθμός φωλιάς 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 number)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85053345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fr-FR" sz="1000" b="0" i="0">
                <a:solidFill>
                  <a:srgbClr val="000000"/>
                </a:solidFill>
                <a:latin typeface="+mn-lt"/>
              </a:rPr>
              <a:t>(Regional distribution of  Investigation  -  Mounda beach 2021)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'ΚΑΤΑΝΟΜΗ ΦΩΛΙΩΝ- REGIONAL NEST'!$H$1</c:f>
              <c:strCache>
                <c:ptCount val="1"/>
                <c:pt idx="0">
                  <c:v>Αριθμός φωλιάς (False Crawl number )</c:v>
                </c:pt>
              </c:strCache>
            </c:strRef>
          </c:tx>
          <c:spPr>
            <a:solidFill>
              <a:srgbClr val="808080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729-427D-A9B9-EBE6ECF1B24A}"/>
              </c:ext>
            </c:extLst>
          </c:dPt>
          <c:dPt>
            <c:idx val="1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729-427D-A9B9-EBE6ECF1B24A}"/>
              </c:ext>
            </c:extLst>
          </c:dPt>
          <c:dPt>
            <c:idx val="2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729-427D-A9B9-EBE6ECF1B24A}"/>
              </c:ext>
            </c:extLst>
          </c:dPt>
          <c:dPt>
            <c:idx val="3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729-427D-A9B9-EBE6ECF1B24A}"/>
              </c:ext>
            </c:extLst>
          </c:dPt>
          <c:dPt>
            <c:idx val="4"/>
            <c:invertIfNegative val="1"/>
            <c:bubble3D val="0"/>
            <c:spPr>
              <a:solidFill>
                <a:srgbClr val="FFE59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729-427D-A9B9-EBE6ECF1B24A}"/>
              </c:ext>
            </c:extLst>
          </c:dPt>
          <c:dPt>
            <c:idx val="5"/>
            <c:invertIfNegative val="1"/>
            <c:bubble3D val="0"/>
            <c:spPr>
              <a:solidFill>
                <a:srgbClr val="FFFF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729-427D-A9B9-EBE6ECF1B24A}"/>
              </c:ext>
            </c:extLst>
          </c:dPt>
          <c:dPt>
            <c:idx val="6"/>
            <c:invertIfNegative val="1"/>
            <c:bubble3D val="0"/>
            <c:spPr>
              <a:solidFill>
                <a:srgbClr val="FFFF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729-427D-A9B9-EBE6ECF1B24A}"/>
              </c:ext>
            </c:extLst>
          </c:dPt>
          <c:dPt>
            <c:idx val="7"/>
            <c:invertIfNegative val="1"/>
            <c:bubble3D val="0"/>
            <c:spPr>
              <a:solidFill>
                <a:srgbClr val="FFFF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729-427D-A9B9-EBE6ECF1B24A}"/>
              </c:ext>
            </c:extLst>
          </c:dPt>
          <c:cat>
            <c:strRef>
              <c:f>'ΚΑΤΑΝΟΜΗ ΦΩΛΙΩΝ- REGIONAL NEST'!$G$2:$G$10</c:f>
              <c:strCache>
                <c:ptCount val="9"/>
                <c:pt idx="0">
                  <c:v>1 - 20</c:v>
                </c:pt>
                <c:pt idx="1">
                  <c:v>21 - 40</c:v>
                </c:pt>
                <c:pt idx="2">
                  <c:v>41 - 60</c:v>
                </c:pt>
                <c:pt idx="3">
                  <c:v>61 - 80</c:v>
                </c:pt>
                <c:pt idx="4">
                  <c:v>81 - 100</c:v>
                </c:pt>
                <c:pt idx="5">
                  <c:v>101 - 120</c:v>
                </c:pt>
                <c:pt idx="6">
                  <c:v>121 - 140</c:v>
                </c:pt>
                <c:pt idx="7">
                  <c:v>141 - 160</c:v>
                </c:pt>
                <c:pt idx="8">
                  <c:v>161 - 180</c:v>
                </c:pt>
              </c:strCache>
            </c:strRef>
          </c:cat>
          <c:val>
            <c:numRef>
              <c:f>'ΚΑΤΑΝΟΜΗ ΦΩΛΙΩΝ- REGIONAL NEST'!$H$2:$H$10</c:f>
              <c:numCache>
                <c:formatCode>0</c:formatCode>
                <c:ptCount val="9"/>
                <c:pt idx="0" formatCode="General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0-2729-427D-A9B9-EBE6ECF1B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848100"/>
        <c:axId val="1841132364"/>
        <c:axId val="0"/>
      </c:bar3DChart>
      <c:catAx>
        <c:axId val="5128481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Σταθερά σημάδια ακτής 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Beach markers)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841132364"/>
        <c:crosses val="autoZero"/>
        <c:auto val="1"/>
        <c:lblAlgn val="ctr"/>
        <c:lblOffset val="100"/>
        <c:noMultiLvlLbl val="1"/>
      </c:catAx>
      <c:valAx>
        <c:axId val="18411323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Αριθμός φωλιάς 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 number)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51284810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1" i="0">
                <a:solidFill>
                  <a:srgbClr val="000000"/>
                </a:solidFill>
                <a:latin typeface="+mn-lt"/>
              </a:defRPr>
            </a:pPr>
            <a:r>
              <a:rPr lang="el-GR" sz="1000" b="1" i="0">
                <a:solidFill>
                  <a:srgbClr val="000000"/>
                </a:solidFill>
                <a:latin typeface="+mn-lt"/>
              </a:rPr>
              <a:t>Σύνολο αριθμού  αυγών επωασθέντων και μη ανά φωλία - ακτή Μούντας 2021 
(</a:t>
            </a:r>
            <a:r>
              <a:rPr lang="fr-FR" sz="1000" b="1" i="0">
                <a:solidFill>
                  <a:srgbClr val="000000"/>
                </a:solidFill>
                <a:latin typeface="+mn-lt"/>
              </a:rPr>
              <a:t>Eggs total incubated and non number per nest  - Mounda beach 2021)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επωασθέντων/Incubated</c:v>
          </c:tx>
          <c:spPr>
            <a:solidFill>
              <a:srgbClr val="0000FF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'ΕΠΩΑΣΘΕΝΤΑ-ΙNCUBATED '!$A$2:$A$959</c:f>
              <c:strCache>
                <c:ptCount val="194"/>
                <c:pt idx="0">
                  <c:v>1P</c:v>
                </c:pt>
                <c:pt idx="1">
                  <c:v>2P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9K</c:v>
                </c:pt>
                <c:pt idx="9">
                  <c:v>10P</c:v>
                </c:pt>
                <c:pt idx="10">
                  <c:v>11K</c:v>
                </c:pt>
                <c:pt idx="11">
                  <c:v>12K</c:v>
                </c:pt>
                <c:pt idx="12">
                  <c:v>13P</c:v>
                </c:pt>
                <c:pt idx="13">
                  <c:v>14K</c:v>
                </c:pt>
                <c:pt idx="14">
                  <c:v>15P</c:v>
                </c:pt>
                <c:pt idx="15">
                  <c:v>16K</c:v>
                </c:pt>
                <c:pt idx="16">
                  <c:v>17K</c:v>
                </c:pt>
                <c:pt idx="17">
                  <c:v>18P</c:v>
                </c:pt>
                <c:pt idx="18">
                  <c:v>19P</c:v>
                </c:pt>
                <c:pt idx="19">
                  <c:v>20P</c:v>
                </c:pt>
                <c:pt idx="20">
                  <c:v>21K</c:v>
                </c:pt>
                <c:pt idx="21">
                  <c:v>22K</c:v>
                </c:pt>
                <c:pt idx="22">
                  <c:v>23K</c:v>
                </c:pt>
                <c:pt idx="23">
                  <c:v>24K</c:v>
                </c:pt>
                <c:pt idx="24">
                  <c:v>25P</c:v>
                </c:pt>
                <c:pt idx="25">
                  <c:v>26P</c:v>
                </c:pt>
                <c:pt idx="26">
                  <c:v>27P</c:v>
                </c:pt>
                <c:pt idx="27">
                  <c:v>28K</c:v>
                </c:pt>
                <c:pt idx="28">
                  <c:v>29K</c:v>
                </c:pt>
                <c:pt idx="29">
                  <c:v>30K</c:v>
                </c:pt>
                <c:pt idx="30">
                  <c:v>31K</c:v>
                </c:pt>
                <c:pt idx="31">
                  <c:v>32K</c:v>
                </c:pt>
                <c:pt idx="32">
                  <c:v>33P</c:v>
                </c:pt>
                <c:pt idx="33">
                  <c:v>34K</c:v>
                </c:pt>
                <c:pt idx="34">
                  <c:v>35K</c:v>
                </c:pt>
                <c:pt idx="35">
                  <c:v>36K</c:v>
                </c:pt>
                <c:pt idx="36">
                  <c:v>37K</c:v>
                </c:pt>
                <c:pt idx="37">
                  <c:v>38P</c:v>
                </c:pt>
                <c:pt idx="38">
                  <c:v>39K</c:v>
                </c:pt>
                <c:pt idx="39">
                  <c:v>40P</c:v>
                </c:pt>
                <c:pt idx="40">
                  <c:v>41P</c:v>
                </c:pt>
                <c:pt idx="41">
                  <c:v>42K</c:v>
                </c:pt>
                <c:pt idx="42">
                  <c:v>43K</c:v>
                </c:pt>
                <c:pt idx="43">
                  <c:v>44K</c:v>
                </c:pt>
                <c:pt idx="44">
                  <c:v>45K</c:v>
                </c:pt>
                <c:pt idx="45">
                  <c:v>46K</c:v>
                </c:pt>
                <c:pt idx="46">
                  <c:v>47K</c:v>
                </c:pt>
                <c:pt idx="47">
                  <c:v>48K</c:v>
                </c:pt>
                <c:pt idx="48">
                  <c:v>49K</c:v>
                </c:pt>
                <c:pt idx="49">
                  <c:v>50K</c:v>
                </c:pt>
                <c:pt idx="50">
                  <c:v>51P</c:v>
                </c:pt>
                <c:pt idx="51">
                  <c:v>52K</c:v>
                </c:pt>
                <c:pt idx="52">
                  <c:v>53K</c:v>
                </c:pt>
                <c:pt idx="53">
                  <c:v>54K</c:v>
                </c:pt>
                <c:pt idx="54">
                  <c:v>55K</c:v>
                </c:pt>
                <c:pt idx="55">
                  <c:v>56K</c:v>
                </c:pt>
                <c:pt idx="56">
                  <c:v>57K</c:v>
                </c:pt>
                <c:pt idx="57">
                  <c:v>58K</c:v>
                </c:pt>
                <c:pt idx="58">
                  <c:v>59K</c:v>
                </c:pt>
                <c:pt idx="59">
                  <c:v>60P</c:v>
                </c:pt>
                <c:pt idx="60">
                  <c:v>61K</c:v>
                </c:pt>
                <c:pt idx="61">
                  <c:v>62K</c:v>
                </c:pt>
                <c:pt idx="62">
                  <c:v>63K</c:v>
                </c:pt>
                <c:pt idx="63">
                  <c:v>64P</c:v>
                </c:pt>
                <c:pt idx="64">
                  <c:v>65K</c:v>
                </c:pt>
                <c:pt idx="65">
                  <c:v>66P</c:v>
                </c:pt>
                <c:pt idx="66">
                  <c:v>67K</c:v>
                </c:pt>
                <c:pt idx="67">
                  <c:v>68K</c:v>
                </c:pt>
                <c:pt idx="68">
                  <c:v>69K</c:v>
                </c:pt>
                <c:pt idx="69">
                  <c:v>70P</c:v>
                </c:pt>
                <c:pt idx="70">
                  <c:v>71P</c:v>
                </c:pt>
                <c:pt idx="71">
                  <c:v>72K</c:v>
                </c:pt>
                <c:pt idx="72">
                  <c:v>73K</c:v>
                </c:pt>
                <c:pt idx="73">
                  <c:v>74K</c:v>
                </c:pt>
                <c:pt idx="74">
                  <c:v>75K</c:v>
                </c:pt>
                <c:pt idx="75">
                  <c:v>77P</c:v>
                </c:pt>
                <c:pt idx="76">
                  <c:v>78K</c:v>
                </c:pt>
                <c:pt idx="77">
                  <c:v>79P</c:v>
                </c:pt>
                <c:pt idx="78">
                  <c:v>80P</c:v>
                </c:pt>
                <c:pt idx="79">
                  <c:v>82K</c:v>
                </c:pt>
                <c:pt idx="80">
                  <c:v>85P</c:v>
                </c:pt>
                <c:pt idx="81">
                  <c:v>86K</c:v>
                </c:pt>
                <c:pt idx="82">
                  <c:v>87P</c:v>
                </c:pt>
                <c:pt idx="83">
                  <c:v>88K</c:v>
                </c:pt>
                <c:pt idx="84">
                  <c:v>89P</c:v>
                </c:pt>
                <c:pt idx="85">
                  <c:v>91K</c:v>
                </c:pt>
                <c:pt idx="86">
                  <c:v>92P</c:v>
                </c:pt>
                <c:pt idx="87">
                  <c:v>96P</c:v>
                </c:pt>
                <c:pt idx="88">
                  <c:v>97P</c:v>
                </c:pt>
                <c:pt idx="89">
                  <c:v>98P</c:v>
                </c:pt>
                <c:pt idx="90">
                  <c:v>100P</c:v>
                </c:pt>
                <c:pt idx="91">
                  <c:v>101P</c:v>
                </c:pt>
                <c:pt idx="92">
                  <c:v>102P</c:v>
                </c:pt>
                <c:pt idx="93">
                  <c:v>103K</c:v>
                </c:pt>
                <c:pt idx="94">
                  <c:v>104K</c:v>
                </c:pt>
                <c:pt idx="95">
                  <c:v>105P</c:v>
                </c:pt>
                <c:pt idx="96">
                  <c:v>106K</c:v>
                </c:pt>
                <c:pt idx="97">
                  <c:v>108K</c:v>
                </c:pt>
                <c:pt idx="98">
                  <c:v>109K</c:v>
                </c:pt>
                <c:pt idx="99">
                  <c:v>111K</c:v>
                </c:pt>
                <c:pt idx="100">
                  <c:v>113K</c:v>
                </c:pt>
                <c:pt idx="101">
                  <c:v>114P</c:v>
                </c:pt>
                <c:pt idx="102">
                  <c:v>115K</c:v>
                </c:pt>
                <c:pt idx="103">
                  <c:v>120P</c:v>
                </c:pt>
                <c:pt idx="104">
                  <c:v>121P</c:v>
                </c:pt>
                <c:pt idx="105">
                  <c:v>122K</c:v>
                </c:pt>
                <c:pt idx="106">
                  <c:v>123K</c:v>
                </c:pt>
                <c:pt idx="107">
                  <c:v>124P</c:v>
                </c:pt>
                <c:pt idx="108">
                  <c:v>125P</c:v>
                </c:pt>
                <c:pt idx="109">
                  <c:v>126K</c:v>
                </c:pt>
                <c:pt idx="110">
                  <c:v>127K</c:v>
                </c:pt>
                <c:pt idx="111">
                  <c:v>128K</c:v>
                </c:pt>
                <c:pt idx="112">
                  <c:v>129K</c:v>
                </c:pt>
                <c:pt idx="113">
                  <c:v>130P</c:v>
                </c:pt>
                <c:pt idx="114">
                  <c:v>131P</c:v>
                </c:pt>
                <c:pt idx="115">
                  <c:v>133K</c:v>
                </c:pt>
                <c:pt idx="116">
                  <c:v>135K</c:v>
                </c:pt>
                <c:pt idx="117">
                  <c:v>136K</c:v>
                </c:pt>
                <c:pt idx="118">
                  <c:v>137K</c:v>
                </c:pt>
                <c:pt idx="119">
                  <c:v>140K</c:v>
                </c:pt>
                <c:pt idx="120">
                  <c:v>141K</c:v>
                </c:pt>
                <c:pt idx="121">
                  <c:v>142P</c:v>
                </c:pt>
                <c:pt idx="122">
                  <c:v>143P</c:v>
                </c:pt>
                <c:pt idx="123">
                  <c:v>144P</c:v>
                </c:pt>
                <c:pt idx="124">
                  <c:v>145K</c:v>
                </c:pt>
                <c:pt idx="125">
                  <c:v>146K</c:v>
                </c:pt>
                <c:pt idx="126">
                  <c:v>147K</c:v>
                </c:pt>
                <c:pt idx="127">
                  <c:v>149P</c:v>
                </c:pt>
                <c:pt idx="128">
                  <c:v>150K</c:v>
                </c:pt>
                <c:pt idx="129">
                  <c:v>151P</c:v>
                </c:pt>
                <c:pt idx="130">
                  <c:v>152P</c:v>
                </c:pt>
                <c:pt idx="131">
                  <c:v>153K</c:v>
                </c:pt>
                <c:pt idx="132">
                  <c:v>154K</c:v>
                </c:pt>
                <c:pt idx="133">
                  <c:v>155P</c:v>
                </c:pt>
                <c:pt idx="134">
                  <c:v>156K</c:v>
                </c:pt>
                <c:pt idx="135">
                  <c:v>157P</c:v>
                </c:pt>
                <c:pt idx="136">
                  <c:v>158K</c:v>
                </c:pt>
                <c:pt idx="137">
                  <c:v>159P</c:v>
                </c:pt>
                <c:pt idx="138">
                  <c:v>162P</c:v>
                </c:pt>
                <c:pt idx="139">
                  <c:v>164K</c:v>
                </c:pt>
                <c:pt idx="140">
                  <c:v>165K</c:v>
                </c:pt>
                <c:pt idx="141">
                  <c:v>167K</c:v>
                </c:pt>
                <c:pt idx="142">
                  <c:v>169P</c:v>
                </c:pt>
                <c:pt idx="143">
                  <c:v>170K</c:v>
                </c:pt>
                <c:pt idx="144">
                  <c:v>173P</c:v>
                </c:pt>
                <c:pt idx="145">
                  <c:v>174P</c:v>
                </c:pt>
                <c:pt idx="146">
                  <c:v>175K</c:v>
                </c:pt>
                <c:pt idx="147">
                  <c:v>176K</c:v>
                </c:pt>
                <c:pt idx="148">
                  <c:v>177P</c:v>
                </c:pt>
                <c:pt idx="149">
                  <c:v>178K</c:v>
                </c:pt>
                <c:pt idx="150">
                  <c:v>179P</c:v>
                </c:pt>
                <c:pt idx="151">
                  <c:v>180P</c:v>
                </c:pt>
                <c:pt idx="152">
                  <c:v>182K</c:v>
                </c:pt>
                <c:pt idx="153">
                  <c:v>183K</c:v>
                </c:pt>
                <c:pt idx="154">
                  <c:v>184P</c:v>
                </c:pt>
                <c:pt idx="155">
                  <c:v>185P</c:v>
                </c:pt>
                <c:pt idx="156">
                  <c:v>187K</c:v>
                </c:pt>
                <c:pt idx="157">
                  <c:v>188K</c:v>
                </c:pt>
                <c:pt idx="158">
                  <c:v>189P</c:v>
                </c:pt>
                <c:pt idx="159">
                  <c:v>190K</c:v>
                </c:pt>
                <c:pt idx="160">
                  <c:v>191K</c:v>
                </c:pt>
                <c:pt idx="161">
                  <c:v>192K</c:v>
                </c:pt>
                <c:pt idx="162">
                  <c:v>194P</c:v>
                </c:pt>
                <c:pt idx="163">
                  <c:v>195K</c:v>
                </c:pt>
                <c:pt idx="164">
                  <c:v>196K</c:v>
                </c:pt>
                <c:pt idx="165">
                  <c:v>197P</c:v>
                </c:pt>
                <c:pt idx="166">
                  <c:v>198K</c:v>
                </c:pt>
                <c:pt idx="167">
                  <c:v>199K</c:v>
                </c:pt>
                <c:pt idx="168">
                  <c:v>200P</c:v>
                </c:pt>
                <c:pt idx="169">
                  <c:v>201K</c:v>
                </c:pt>
                <c:pt idx="170">
                  <c:v>203K</c:v>
                </c:pt>
                <c:pt idx="171">
                  <c:v>206K</c:v>
                </c:pt>
                <c:pt idx="172">
                  <c:v>207K</c:v>
                </c:pt>
                <c:pt idx="173">
                  <c:v>208K</c:v>
                </c:pt>
                <c:pt idx="174">
                  <c:v>209P</c:v>
                </c:pt>
                <c:pt idx="175">
                  <c:v>210K</c:v>
                </c:pt>
                <c:pt idx="176">
                  <c:v>211K</c:v>
                </c:pt>
                <c:pt idx="177">
                  <c:v>212P</c:v>
                </c:pt>
                <c:pt idx="178">
                  <c:v>213P</c:v>
                </c:pt>
                <c:pt idx="179">
                  <c:v>214K</c:v>
                </c:pt>
                <c:pt idx="180">
                  <c:v>215K</c:v>
                </c:pt>
                <c:pt idx="181">
                  <c:v>218K</c:v>
                </c:pt>
                <c:pt idx="182">
                  <c:v>219K</c:v>
                </c:pt>
                <c:pt idx="183">
                  <c:v>220K</c:v>
                </c:pt>
                <c:pt idx="184">
                  <c:v>223K</c:v>
                </c:pt>
                <c:pt idx="185">
                  <c:v>227K</c:v>
                </c:pt>
                <c:pt idx="186">
                  <c:v>228P</c:v>
                </c:pt>
                <c:pt idx="187">
                  <c:v>229K</c:v>
                </c:pt>
                <c:pt idx="188">
                  <c:v>230K</c:v>
                </c:pt>
                <c:pt idx="189">
                  <c:v>231K</c:v>
                </c:pt>
                <c:pt idx="190">
                  <c:v>232K</c:v>
                </c:pt>
                <c:pt idx="191">
                  <c:v>233K</c:v>
                </c:pt>
                <c:pt idx="192">
                  <c:v>234K</c:v>
                </c:pt>
                <c:pt idx="193">
                  <c:v>235K</c:v>
                </c:pt>
              </c:strCache>
            </c:strRef>
          </c:cat>
          <c:val>
            <c:numRef>
              <c:f>'ΕΠΩΑΣΘΕΝΤΑ-ΙNCUBATED '!$B$2:$B$195</c:f>
              <c:numCache>
                <c:formatCode>General</c:formatCode>
                <c:ptCount val="194"/>
                <c:pt idx="0">
                  <c:v>70</c:v>
                </c:pt>
                <c:pt idx="1">
                  <c:v>93</c:v>
                </c:pt>
                <c:pt idx="2">
                  <c:v>0</c:v>
                </c:pt>
                <c:pt idx="3">
                  <c:v>0</c:v>
                </c:pt>
                <c:pt idx="4">
                  <c:v>78</c:v>
                </c:pt>
                <c:pt idx="5">
                  <c:v>26</c:v>
                </c:pt>
                <c:pt idx="6">
                  <c:v>122</c:v>
                </c:pt>
                <c:pt idx="7">
                  <c:v>49</c:v>
                </c:pt>
                <c:pt idx="8">
                  <c:v>52</c:v>
                </c:pt>
                <c:pt idx="9">
                  <c:v>101</c:v>
                </c:pt>
                <c:pt idx="10">
                  <c:v>0</c:v>
                </c:pt>
                <c:pt idx="11">
                  <c:v>110</c:v>
                </c:pt>
                <c:pt idx="12">
                  <c:v>71</c:v>
                </c:pt>
                <c:pt idx="13">
                  <c:v>117</c:v>
                </c:pt>
                <c:pt idx="14">
                  <c:v>45</c:v>
                </c:pt>
                <c:pt idx="15">
                  <c:v>98</c:v>
                </c:pt>
                <c:pt idx="16">
                  <c:v>48</c:v>
                </c:pt>
                <c:pt idx="17">
                  <c:v>149</c:v>
                </c:pt>
                <c:pt idx="18">
                  <c:v>145</c:v>
                </c:pt>
                <c:pt idx="19">
                  <c:v>105</c:v>
                </c:pt>
                <c:pt idx="20">
                  <c:v>99</c:v>
                </c:pt>
                <c:pt idx="21">
                  <c:v>57</c:v>
                </c:pt>
                <c:pt idx="22">
                  <c:v>0</c:v>
                </c:pt>
                <c:pt idx="23">
                  <c:v>121</c:v>
                </c:pt>
                <c:pt idx="24">
                  <c:v>90</c:v>
                </c:pt>
                <c:pt idx="25">
                  <c:v>119</c:v>
                </c:pt>
                <c:pt idx="26">
                  <c:v>89</c:v>
                </c:pt>
                <c:pt idx="27">
                  <c:v>79</c:v>
                </c:pt>
                <c:pt idx="28">
                  <c:v>32</c:v>
                </c:pt>
                <c:pt idx="29">
                  <c:v>0</c:v>
                </c:pt>
                <c:pt idx="30">
                  <c:v>102</c:v>
                </c:pt>
                <c:pt idx="31">
                  <c:v>92</c:v>
                </c:pt>
                <c:pt idx="32">
                  <c:v>81</c:v>
                </c:pt>
                <c:pt idx="33">
                  <c:v>59</c:v>
                </c:pt>
                <c:pt idx="34">
                  <c:v>0</c:v>
                </c:pt>
                <c:pt idx="35">
                  <c:v>0</c:v>
                </c:pt>
                <c:pt idx="36">
                  <c:v>103</c:v>
                </c:pt>
                <c:pt idx="37">
                  <c:v>0</c:v>
                </c:pt>
                <c:pt idx="38">
                  <c:v>0</c:v>
                </c:pt>
                <c:pt idx="39">
                  <c:v>72</c:v>
                </c:pt>
                <c:pt idx="40">
                  <c:v>70</c:v>
                </c:pt>
                <c:pt idx="41">
                  <c:v>0</c:v>
                </c:pt>
                <c:pt idx="42">
                  <c:v>0</c:v>
                </c:pt>
                <c:pt idx="43">
                  <c:v>64</c:v>
                </c:pt>
                <c:pt idx="44">
                  <c:v>107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80</c:v>
                </c:pt>
                <c:pt idx="49">
                  <c:v>32</c:v>
                </c:pt>
                <c:pt idx="50">
                  <c:v>0</c:v>
                </c:pt>
                <c:pt idx="51">
                  <c:v>0</c:v>
                </c:pt>
                <c:pt idx="52">
                  <c:v>78</c:v>
                </c:pt>
                <c:pt idx="53">
                  <c:v>130</c:v>
                </c:pt>
                <c:pt idx="54">
                  <c:v>108</c:v>
                </c:pt>
                <c:pt idx="55">
                  <c:v>67</c:v>
                </c:pt>
                <c:pt idx="56">
                  <c:v>108</c:v>
                </c:pt>
                <c:pt idx="57">
                  <c:v>98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66</c:v>
                </c:pt>
                <c:pt idx="62">
                  <c:v>97</c:v>
                </c:pt>
                <c:pt idx="63">
                  <c:v>70</c:v>
                </c:pt>
                <c:pt idx="64">
                  <c:v>71</c:v>
                </c:pt>
                <c:pt idx="65">
                  <c:v>94</c:v>
                </c:pt>
                <c:pt idx="66">
                  <c:v>82</c:v>
                </c:pt>
                <c:pt idx="67">
                  <c:v>94</c:v>
                </c:pt>
                <c:pt idx="68">
                  <c:v>68</c:v>
                </c:pt>
                <c:pt idx="69">
                  <c:v>104</c:v>
                </c:pt>
                <c:pt idx="70">
                  <c:v>93</c:v>
                </c:pt>
                <c:pt idx="71">
                  <c:v>118</c:v>
                </c:pt>
                <c:pt idx="72">
                  <c:v>83</c:v>
                </c:pt>
                <c:pt idx="73">
                  <c:v>0</c:v>
                </c:pt>
                <c:pt idx="74">
                  <c:v>51</c:v>
                </c:pt>
                <c:pt idx="75">
                  <c:v>0</c:v>
                </c:pt>
                <c:pt idx="76">
                  <c:v>62</c:v>
                </c:pt>
                <c:pt idx="77">
                  <c:v>88</c:v>
                </c:pt>
                <c:pt idx="78">
                  <c:v>0</c:v>
                </c:pt>
                <c:pt idx="79">
                  <c:v>0</c:v>
                </c:pt>
                <c:pt idx="80">
                  <c:v>93</c:v>
                </c:pt>
                <c:pt idx="81">
                  <c:v>72</c:v>
                </c:pt>
                <c:pt idx="82">
                  <c:v>80</c:v>
                </c:pt>
                <c:pt idx="83">
                  <c:v>0</c:v>
                </c:pt>
                <c:pt idx="84">
                  <c:v>0</c:v>
                </c:pt>
                <c:pt idx="85">
                  <c:v>92</c:v>
                </c:pt>
                <c:pt idx="86">
                  <c:v>0</c:v>
                </c:pt>
                <c:pt idx="87">
                  <c:v>74</c:v>
                </c:pt>
                <c:pt idx="88">
                  <c:v>71</c:v>
                </c:pt>
                <c:pt idx="89">
                  <c:v>104</c:v>
                </c:pt>
                <c:pt idx="90">
                  <c:v>89</c:v>
                </c:pt>
                <c:pt idx="91">
                  <c:v>0</c:v>
                </c:pt>
                <c:pt idx="92">
                  <c:v>0</c:v>
                </c:pt>
                <c:pt idx="93">
                  <c:v>51</c:v>
                </c:pt>
                <c:pt idx="94">
                  <c:v>0</c:v>
                </c:pt>
                <c:pt idx="95">
                  <c:v>0</c:v>
                </c:pt>
                <c:pt idx="96">
                  <c:v>109</c:v>
                </c:pt>
                <c:pt idx="97">
                  <c:v>68</c:v>
                </c:pt>
                <c:pt idx="98">
                  <c:v>0</c:v>
                </c:pt>
                <c:pt idx="99">
                  <c:v>44</c:v>
                </c:pt>
                <c:pt idx="100">
                  <c:v>0</c:v>
                </c:pt>
                <c:pt idx="101">
                  <c:v>68</c:v>
                </c:pt>
                <c:pt idx="102">
                  <c:v>0</c:v>
                </c:pt>
                <c:pt idx="103">
                  <c:v>85</c:v>
                </c:pt>
                <c:pt idx="104">
                  <c:v>0</c:v>
                </c:pt>
                <c:pt idx="105">
                  <c:v>0</c:v>
                </c:pt>
                <c:pt idx="106">
                  <c:v>79</c:v>
                </c:pt>
                <c:pt idx="107">
                  <c:v>0</c:v>
                </c:pt>
                <c:pt idx="108">
                  <c:v>83</c:v>
                </c:pt>
                <c:pt idx="109">
                  <c:v>94</c:v>
                </c:pt>
                <c:pt idx="110">
                  <c:v>110</c:v>
                </c:pt>
                <c:pt idx="111">
                  <c:v>79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72</c:v>
                </c:pt>
                <c:pt idx="116">
                  <c:v>0</c:v>
                </c:pt>
                <c:pt idx="117">
                  <c:v>83</c:v>
                </c:pt>
                <c:pt idx="118">
                  <c:v>0</c:v>
                </c:pt>
                <c:pt idx="119">
                  <c:v>63</c:v>
                </c:pt>
                <c:pt idx="120">
                  <c:v>0</c:v>
                </c:pt>
                <c:pt idx="121">
                  <c:v>5</c:v>
                </c:pt>
                <c:pt idx="122">
                  <c:v>72</c:v>
                </c:pt>
                <c:pt idx="123">
                  <c:v>95</c:v>
                </c:pt>
                <c:pt idx="124">
                  <c:v>95</c:v>
                </c:pt>
                <c:pt idx="125">
                  <c:v>18</c:v>
                </c:pt>
                <c:pt idx="126">
                  <c:v>0</c:v>
                </c:pt>
                <c:pt idx="127">
                  <c:v>90</c:v>
                </c:pt>
                <c:pt idx="128">
                  <c:v>0</c:v>
                </c:pt>
                <c:pt idx="129">
                  <c:v>54</c:v>
                </c:pt>
                <c:pt idx="130">
                  <c:v>66</c:v>
                </c:pt>
                <c:pt idx="131">
                  <c:v>0</c:v>
                </c:pt>
                <c:pt idx="132">
                  <c:v>81</c:v>
                </c:pt>
                <c:pt idx="133">
                  <c:v>90</c:v>
                </c:pt>
                <c:pt idx="134">
                  <c:v>51</c:v>
                </c:pt>
                <c:pt idx="135">
                  <c:v>79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96</c:v>
                </c:pt>
                <c:pt idx="141">
                  <c:v>85</c:v>
                </c:pt>
                <c:pt idx="142">
                  <c:v>77</c:v>
                </c:pt>
                <c:pt idx="143">
                  <c:v>68</c:v>
                </c:pt>
                <c:pt idx="144">
                  <c:v>73</c:v>
                </c:pt>
                <c:pt idx="145">
                  <c:v>81</c:v>
                </c:pt>
                <c:pt idx="146">
                  <c:v>0</c:v>
                </c:pt>
                <c:pt idx="147">
                  <c:v>0</c:v>
                </c:pt>
                <c:pt idx="148">
                  <c:v>74</c:v>
                </c:pt>
                <c:pt idx="149">
                  <c:v>87</c:v>
                </c:pt>
                <c:pt idx="150">
                  <c:v>0</c:v>
                </c:pt>
                <c:pt idx="151">
                  <c:v>0</c:v>
                </c:pt>
                <c:pt idx="152">
                  <c:v>49</c:v>
                </c:pt>
                <c:pt idx="153">
                  <c:v>47</c:v>
                </c:pt>
                <c:pt idx="154">
                  <c:v>75</c:v>
                </c:pt>
                <c:pt idx="155">
                  <c:v>0</c:v>
                </c:pt>
                <c:pt idx="156">
                  <c:v>109</c:v>
                </c:pt>
                <c:pt idx="157">
                  <c:v>49</c:v>
                </c:pt>
                <c:pt idx="158">
                  <c:v>101</c:v>
                </c:pt>
                <c:pt idx="159">
                  <c:v>0</c:v>
                </c:pt>
                <c:pt idx="160">
                  <c:v>67</c:v>
                </c:pt>
                <c:pt idx="161">
                  <c:v>88</c:v>
                </c:pt>
                <c:pt idx="162">
                  <c:v>110</c:v>
                </c:pt>
                <c:pt idx="163">
                  <c:v>61</c:v>
                </c:pt>
                <c:pt idx="164">
                  <c:v>98</c:v>
                </c:pt>
                <c:pt idx="165">
                  <c:v>56</c:v>
                </c:pt>
                <c:pt idx="166">
                  <c:v>50</c:v>
                </c:pt>
                <c:pt idx="167">
                  <c:v>45</c:v>
                </c:pt>
                <c:pt idx="168">
                  <c:v>0</c:v>
                </c:pt>
                <c:pt idx="169">
                  <c:v>0</c:v>
                </c:pt>
                <c:pt idx="170">
                  <c:v>96</c:v>
                </c:pt>
                <c:pt idx="171">
                  <c:v>74</c:v>
                </c:pt>
                <c:pt idx="172">
                  <c:v>75</c:v>
                </c:pt>
                <c:pt idx="173">
                  <c:v>72</c:v>
                </c:pt>
                <c:pt idx="174">
                  <c:v>0</c:v>
                </c:pt>
                <c:pt idx="175">
                  <c:v>65</c:v>
                </c:pt>
                <c:pt idx="176">
                  <c:v>59</c:v>
                </c:pt>
                <c:pt idx="177">
                  <c:v>96</c:v>
                </c:pt>
                <c:pt idx="178">
                  <c:v>70</c:v>
                </c:pt>
                <c:pt idx="179">
                  <c:v>98</c:v>
                </c:pt>
                <c:pt idx="180">
                  <c:v>99</c:v>
                </c:pt>
                <c:pt idx="181">
                  <c:v>92</c:v>
                </c:pt>
                <c:pt idx="182">
                  <c:v>60</c:v>
                </c:pt>
                <c:pt idx="183">
                  <c:v>79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60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9D2-4F70-AEA8-2B0D2A0069E5}"/>
            </c:ext>
          </c:extLst>
        </c:ser>
        <c:ser>
          <c:idx val="1"/>
          <c:order val="1"/>
          <c:tx>
            <c:v>μη επωασθέντων/No incubated</c:v>
          </c:tx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'ΕΠΩΑΣΘΕΝΤΑ-ΙNCUBATED '!$A$2:$A$959</c:f>
              <c:strCache>
                <c:ptCount val="194"/>
                <c:pt idx="0">
                  <c:v>1P</c:v>
                </c:pt>
                <c:pt idx="1">
                  <c:v>2P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9K</c:v>
                </c:pt>
                <c:pt idx="9">
                  <c:v>10P</c:v>
                </c:pt>
                <c:pt idx="10">
                  <c:v>11K</c:v>
                </c:pt>
                <c:pt idx="11">
                  <c:v>12K</c:v>
                </c:pt>
                <c:pt idx="12">
                  <c:v>13P</c:v>
                </c:pt>
                <c:pt idx="13">
                  <c:v>14K</c:v>
                </c:pt>
                <c:pt idx="14">
                  <c:v>15P</c:v>
                </c:pt>
                <c:pt idx="15">
                  <c:v>16K</c:v>
                </c:pt>
                <c:pt idx="16">
                  <c:v>17K</c:v>
                </c:pt>
                <c:pt idx="17">
                  <c:v>18P</c:v>
                </c:pt>
                <c:pt idx="18">
                  <c:v>19P</c:v>
                </c:pt>
                <c:pt idx="19">
                  <c:v>20P</c:v>
                </c:pt>
                <c:pt idx="20">
                  <c:v>21K</c:v>
                </c:pt>
                <c:pt idx="21">
                  <c:v>22K</c:v>
                </c:pt>
                <c:pt idx="22">
                  <c:v>23K</c:v>
                </c:pt>
                <c:pt idx="23">
                  <c:v>24K</c:v>
                </c:pt>
                <c:pt idx="24">
                  <c:v>25P</c:v>
                </c:pt>
                <c:pt idx="25">
                  <c:v>26P</c:v>
                </c:pt>
                <c:pt idx="26">
                  <c:v>27P</c:v>
                </c:pt>
                <c:pt idx="27">
                  <c:v>28K</c:v>
                </c:pt>
                <c:pt idx="28">
                  <c:v>29K</c:v>
                </c:pt>
                <c:pt idx="29">
                  <c:v>30K</c:v>
                </c:pt>
                <c:pt idx="30">
                  <c:v>31K</c:v>
                </c:pt>
                <c:pt idx="31">
                  <c:v>32K</c:v>
                </c:pt>
                <c:pt idx="32">
                  <c:v>33P</c:v>
                </c:pt>
                <c:pt idx="33">
                  <c:v>34K</c:v>
                </c:pt>
                <c:pt idx="34">
                  <c:v>35K</c:v>
                </c:pt>
                <c:pt idx="35">
                  <c:v>36K</c:v>
                </c:pt>
                <c:pt idx="36">
                  <c:v>37K</c:v>
                </c:pt>
                <c:pt idx="37">
                  <c:v>38P</c:v>
                </c:pt>
                <c:pt idx="38">
                  <c:v>39K</c:v>
                </c:pt>
                <c:pt idx="39">
                  <c:v>40P</c:v>
                </c:pt>
                <c:pt idx="40">
                  <c:v>41P</c:v>
                </c:pt>
                <c:pt idx="41">
                  <c:v>42K</c:v>
                </c:pt>
                <c:pt idx="42">
                  <c:v>43K</c:v>
                </c:pt>
                <c:pt idx="43">
                  <c:v>44K</c:v>
                </c:pt>
                <c:pt idx="44">
                  <c:v>45K</c:v>
                </c:pt>
                <c:pt idx="45">
                  <c:v>46K</c:v>
                </c:pt>
                <c:pt idx="46">
                  <c:v>47K</c:v>
                </c:pt>
                <c:pt idx="47">
                  <c:v>48K</c:v>
                </c:pt>
                <c:pt idx="48">
                  <c:v>49K</c:v>
                </c:pt>
                <c:pt idx="49">
                  <c:v>50K</c:v>
                </c:pt>
                <c:pt idx="50">
                  <c:v>51P</c:v>
                </c:pt>
                <c:pt idx="51">
                  <c:v>52K</c:v>
                </c:pt>
                <c:pt idx="52">
                  <c:v>53K</c:v>
                </c:pt>
                <c:pt idx="53">
                  <c:v>54K</c:v>
                </c:pt>
                <c:pt idx="54">
                  <c:v>55K</c:v>
                </c:pt>
                <c:pt idx="55">
                  <c:v>56K</c:v>
                </c:pt>
                <c:pt idx="56">
                  <c:v>57K</c:v>
                </c:pt>
                <c:pt idx="57">
                  <c:v>58K</c:v>
                </c:pt>
                <c:pt idx="58">
                  <c:v>59K</c:v>
                </c:pt>
                <c:pt idx="59">
                  <c:v>60P</c:v>
                </c:pt>
                <c:pt idx="60">
                  <c:v>61K</c:v>
                </c:pt>
                <c:pt idx="61">
                  <c:v>62K</c:v>
                </c:pt>
                <c:pt idx="62">
                  <c:v>63K</c:v>
                </c:pt>
                <c:pt idx="63">
                  <c:v>64P</c:v>
                </c:pt>
                <c:pt idx="64">
                  <c:v>65K</c:v>
                </c:pt>
                <c:pt idx="65">
                  <c:v>66P</c:v>
                </c:pt>
                <c:pt idx="66">
                  <c:v>67K</c:v>
                </c:pt>
                <c:pt idx="67">
                  <c:v>68K</c:v>
                </c:pt>
                <c:pt idx="68">
                  <c:v>69K</c:v>
                </c:pt>
                <c:pt idx="69">
                  <c:v>70P</c:v>
                </c:pt>
                <c:pt idx="70">
                  <c:v>71P</c:v>
                </c:pt>
                <c:pt idx="71">
                  <c:v>72K</c:v>
                </c:pt>
                <c:pt idx="72">
                  <c:v>73K</c:v>
                </c:pt>
                <c:pt idx="73">
                  <c:v>74K</c:v>
                </c:pt>
                <c:pt idx="74">
                  <c:v>75K</c:v>
                </c:pt>
                <c:pt idx="75">
                  <c:v>77P</c:v>
                </c:pt>
                <c:pt idx="76">
                  <c:v>78K</c:v>
                </c:pt>
                <c:pt idx="77">
                  <c:v>79P</c:v>
                </c:pt>
                <c:pt idx="78">
                  <c:v>80P</c:v>
                </c:pt>
                <c:pt idx="79">
                  <c:v>82K</c:v>
                </c:pt>
                <c:pt idx="80">
                  <c:v>85P</c:v>
                </c:pt>
                <c:pt idx="81">
                  <c:v>86K</c:v>
                </c:pt>
                <c:pt idx="82">
                  <c:v>87P</c:v>
                </c:pt>
                <c:pt idx="83">
                  <c:v>88K</c:v>
                </c:pt>
                <c:pt idx="84">
                  <c:v>89P</c:v>
                </c:pt>
                <c:pt idx="85">
                  <c:v>91K</c:v>
                </c:pt>
                <c:pt idx="86">
                  <c:v>92P</c:v>
                </c:pt>
                <c:pt idx="87">
                  <c:v>96P</c:v>
                </c:pt>
                <c:pt idx="88">
                  <c:v>97P</c:v>
                </c:pt>
                <c:pt idx="89">
                  <c:v>98P</c:v>
                </c:pt>
                <c:pt idx="90">
                  <c:v>100P</c:v>
                </c:pt>
                <c:pt idx="91">
                  <c:v>101P</c:v>
                </c:pt>
                <c:pt idx="92">
                  <c:v>102P</c:v>
                </c:pt>
                <c:pt idx="93">
                  <c:v>103K</c:v>
                </c:pt>
                <c:pt idx="94">
                  <c:v>104K</c:v>
                </c:pt>
                <c:pt idx="95">
                  <c:v>105P</c:v>
                </c:pt>
                <c:pt idx="96">
                  <c:v>106K</c:v>
                </c:pt>
                <c:pt idx="97">
                  <c:v>108K</c:v>
                </c:pt>
                <c:pt idx="98">
                  <c:v>109K</c:v>
                </c:pt>
                <c:pt idx="99">
                  <c:v>111K</c:v>
                </c:pt>
                <c:pt idx="100">
                  <c:v>113K</c:v>
                </c:pt>
                <c:pt idx="101">
                  <c:v>114P</c:v>
                </c:pt>
                <c:pt idx="102">
                  <c:v>115K</c:v>
                </c:pt>
                <c:pt idx="103">
                  <c:v>120P</c:v>
                </c:pt>
                <c:pt idx="104">
                  <c:v>121P</c:v>
                </c:pt>
                <c:pt idx="105">
                  <c:v>122K</c:v>
                </c:pt>
                <c:pt idx="106">
                  <c:v>123K</c:v>
                </c:pt>
                <c:pt idx="107">
                  <c:v>124P</c:v>
                </c:pt>
                <c:pt idx="108">
                  <c:v>125P</c:v>
                </c:pt>
                <c:pt idx="109">
                  <c:v>126K</c:v>
                </c:pt>
                <c:pt idx="110">
                  <c:v>127K</c:v>
                </c:pt>
                <c:pt idx="111">
                  <c:v>128K</c:v>
                </c:pt>
                <c:pt idx="112">
                  <c:v>129K</c:v>
                </c:pt>
                <c:pt idx="113">
                  <c:v>130P</c:v>
                </c:pt>
                <c:pt idx="114">
                  <c:v>131P</c:v>
                </c:pt>
                <c:pt idx="115">
                  <c:v>133K</c:v>
                </c:pt>
                <c:pt idx="116">
                  <c:v>135K</c:v>
                </c:pt>
                <c:pt idx="117">
                  <c:v>136K</c:v>
                </c:pt>
                <c:pt idx="118">
                  <c:v>137K</c:v>
                </c:pt>
                <c:pt idx="119">
                  <c:v>140K</c:v>
                </c:pt>
                <c:pt idx="120">
                  <c:v>141K</c:v>
                </c:pt>
                <c:pt idx="121">
                  <c:v>142P</c:v>
                </c:pt>
                <c:pt idx="122">
                  <c:v>143P</c:v>
                </c:pt>
                <c:pt idx="123">
                  <c:v>144P</c:v>
                </c:pt>
                <c:pt idx="124">
                  <c:v>145K</c:v>
                </c:pt>
                <c:pt idx="125">
                  <c:v>146K</c:v>
                </c:pt>
                <c:pt idx="126">
                  <c:v>147K</c:v>
                </c:pt>
                <c:pt idx="127">
                  <c:v>149P</c:v>
                </c:pt>
                <c:pt idx="128">
                  <c:v>150K</c:v>
                </c:pt>
                <c:pt idx="129">
                  <c:v>151P</c:v>
                </c:pt>
                <c:pt idx="130">
                  <c:v>152P</c:v>
                </c:pt>
                <c:pt idx="131">
                  <c:v>153K</c:v>
                </c:pt>
                <c:pt idx="132">
                  <c:v>154K</c:v>
                </c:pt>
                <c:pt idx="133">
                  <c:v>155P</c:v>
                </c:pt>
                <c:pt idx="134">
                  <c:v>156K</c:v>
                </c:pt>
                <c:pt idx="135">
                  <c:v>157P</c:v>
                </c:pt>
                <c:pt idx="136">
                  <c:v>158K</c:v>
                </c:pt>
                <c:pt idx="137">
                  <c:v>159P</c:v>
                </c:pt>
                <c:pt idx="138">
                  <c:v>162P</c:v>
                </c:pt>
                <c:pt idx="139">
                  <c:v>164K</c:v>
                </c:pt>
                <c:pt idx="140">
                  <c:v>165K</c:v>
                </c:pt>
                <c:pt idx="141">
                  <c:v>167K</c:v>
                </c:pt>
                <c:pt idx="142">
                  <c:v>169P</c:v>
                </c:pt>
                <c:pt idx="143">
                  <c:v>170K</c:v>
                </c:pt>
                <c:pt idx="144">
                  <c:v>173P</c:v>
                </c:pt>
                <c:pt idx="145">
                  <c:v>174P</c:v>
                </c:pt>
                <c:pt idx="146">
                  <c:v>175K</c:v>
                </c:pt>
                <c:pt idx="147">
                  <c:v>176K</c:v>
                </c:pt>
                <c:pt idx="148">
                  <c:v>177P</c:v>
                </c:pt>
                <c:pt idx="149">
                  <c:v>178K</c:v>
                </c:pt>
                <c:pt idx="150">
                  <c:v>179P</c:v>
                </c:pt>
                <c:pt idx="151">
                  <c:v>180P</c:v>
                </c:pt>
                <c:pt idx="152">
                  <c:v>182K</c:v>
                </c:pt>
                <c:pt idx="153">
                  <c:v>183K</c:v>
                </c:pt>
                <c:pt idx="154">
                  <c:v>184P</c:v>
                </c:pt>
                <c:pt idx="155">
                  <c:v>185P</c:v>
                </c:pt>
                <c:pt idx="156">
                  <c:v>187K</c:v>
                </c:pt>
                <c:pt idx="157">
                  <c:v>188K</c:v>
                </c:pt>
                <c:pt idx="158">
                  <c:v>189P</c:v>
                </c:pt>
                <c:pt idx="159">
                  <c:v>190K</c:v>
                </c:pt>
                <c:pt idx="160">
                  <c:v>191K</c:v>
                </c:pt>
                <c:pt idx="161">
                  <c:v>192K</c:v>
                </c:pt>
                <c:pt idx="162">
                  <c:v>194P</c:v>
                </c:pt>
                <c:pt idx="163">
                  <c:v>195K</c:v>
                </c:pt>
                <c:pt idx="164">
                  <c:v>196K</c:v>
                </c:pt>
                <c:pt idx="165">
                  <c:v>197P</c:v>
                </c:pt>
                <c:pt idx="166">
                  <c:v>198K</c:v>
                </c:pt>
                <c:pt idx="167">
                  <c:v>199K</c:v>
                </c:pt>
                <c:pt idx="168">
                  <c:v>200P</c:v>
                </c:pt>
                <c:pt idx="169">
                  <c:v>201K</c:v>
                </c:pt>
                <c:pt idx="170">
                  <c:v>203K</c:v>
                </c:pt>
                <c:pt idx="171">
                  <c:v>206K</c:v>
                </c:pt>
                <c:pt idx="172">
                  <c:v>207K</c:v>
                </c:pt>
                <c:pt idx="173">
                  <c:v>208K</c:v>
                </c:pt>
                <c:pt idx="174">
                  <c:v>209P</c:v>
                </c:pt>
                <c:pt idx="175">
                  <c:v>210K</c:v>
                </c:pt>
                <c:pt idx="176">
                  <c:v>211K</c:v>
                </c:pt>
                <c:pt idx="177">
                  <c:v>212P</c:v>
                </c:pt>
                <c:pt idx="178">
                  <c:v>213P</c:v>
                </c:pt>
                <c:pt idx="179">
                  <c:v>214K</c:v>
                </c:pt>
                <c:pt idx="180">
                  <c:v>215K</c:v>
                </c:pt>
                <c:pt idx="181">
                  <c:v>218K</c:v>
                </c:pt>
                <c:pt idx="182">
                  <c:v>219K</c:v>
                </c:pt>
                <c:pt idx="183">
                  <c:v>220K</c:v>
                </c:pt>
                <c:pt idx="184">
                  <c:v>223K</c:v>
                </c:pt>
                <c:pt idx="185">
                  <c:v>227K</c:v>
                </c:pt>
                <c:pt idx="186">
                  <c:v>228P</c:v>
                </c:pt>
                <c:pt idx="187">
                  <c:v>229K</c:v>
                </c:pt>
                <c:pt idx="188">
                  <c:v>230K</c:v>
                </c:pt>
                <c:pt idx="189">
                  <c:v>231K</c:v>
                </c:pt>
                <c:pt idx="190">
                  <c:v>232K</c:v>
                </c:pt>
                <c:pt idx="191">
                  <c:v>233K</c:v>
                </c:pt>
                <c:pt idx="192">
                  <c:v>234K</c:v>
                </c:pt>
                <c:pt idx="193">
                  <c:v>235K</c:v>
                </c:pt>
              </c:strCache>
            </c:strRef>
          </c:cat>
          <c:val>
            <c:numRef>
              <c:f>'ΕΠΩΑΣΘΕΝΤΑ-ΙNCUBATED '!$C$2:$C$195</c:f>
              <c:numCache>
                <c:formatCode>General</c:formatCode>
                <c:ptCount val="194"/>
                <c:pt idx="0">
                  <c:v>43</c:v>
                </c:pt>
                <c:pt idx="1">
                  <c:v>6</c:v>
                </c:pt>
                <c:pt idx="2">
                  <c:v>0</c:v>
                </c:pt>
                <c:pt idx="3">
                  <c:v>117</c:v>
                </c:pt>
                <c:pt idx="4">
                  <c:v>17</c:v>
                </c:pt>
                <c:pt idx="5">
                  <c:v>14</c:v>
                </c:pt>
                <c:pt idx="6">
                  <c:v>17</c:v>
                </c:pt>
                <c:pt idx="7">
                  <c:v>9</c:v>
                </c:pt>
                <c:pt idx="8">
                  <c:v>13</c:v>
                </c:pt>
                <c:pt idx="9">
                  <c:v>35</c:v>
                </c:pt>
                <c:pt idx="10">
                  <c:v>0</c:v>
                </c:pt>
                <c:pt idx="11">
                  <c:v>1</c:v>
                </c:pt>
                <c:pt idx="12">
                  <c:v>42</c:v>
                </c:pt>
                <c:pt idx="13">
                  <c:v>1</c:v>
                </c:pt>
                <c:pt idx="14">
                  <c:v>20</c:v>
                </c:pt>
                <c:pt idx="15">
                  <c:v>24</c:v>
                </c:pt>
                <c:pt idx="16">
                  <c:v>56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38</c:v>
                </c:pt>
                <c:pt idx="21">
                  <c:v>54</c:v>
                </c:pt>
                <c:pt idx="22">
                  <c:v>0</c:v>
                </c:pt>
                <c:pt idx="23">
                  <c:v>8</c:v>
                </c:pt>
                <c:pt idx="24">
                  <c:v>70</c:v>
                </c:pt>
                <c:pt idx="25">
                  <c:v>7</c:v>
                </c:pt>
                <c:pt idx="26">
                  <c:v>18</c:v>
                </c:pt>
                <c:pt idx="27">
                  <c:v>2</c:v>
                </c:pt>
                <c:pt idx="28">
                  <c:v>33</c:v>
                </c:pt>
                <c:pt idx="29">
                  <c:v>0</c:v>
                </c:pt>
                <c:pt idx="30">
                  <c:v>10</c:v>
                </c:pt>
                <c:pt idx="31">
                  <c:v>25</c:v>
                </c:pt>
                <c:pt idx="32">
                  <c:v>23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30</c:v>
                </c:pt>
                <c:pt idx="40">
                  <c:v>16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14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33</c:v>
                </c:pt>
                <c:pt idx="50">
                  <c:v>0</c:v>
                </c:pt>
                <c:pt idx="51">
                  <c:v>0</c:v>
                </c:pt>
                <c:pt idx="52">
                  <c:v>3</c:v>
                </c:pt>
                <c:pt idx="53">
                  <c:v>0</c:v>
                </c:pt>
                <c:pt idx="54">
                  <c:v>0</c:v>
                </c:pt>
                <c:pt idx="55">
                  <c:v>3</c:v>
                </c:pt>
                <c:pt idx="56">
                  <c:v>0</c:v>
                </c:pt>
                <c:pt idx="57">
                  <c:v>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10</c:v>
                </c:pt>
                <c:pt idx="62">
                  <c:v>8</c:v>
                </c:pt>
                <c:pt idx="63">
                  <c:v>0</c:v>
                </c:pt>
                <c:pt idx="64">
                  <c:v>4</c:v>
                </c:pt>
                <c:pt idx="65">
                  <c:v>0</c:v>
                </c:pt>
                <c:pt idx="66">
                  <c:v>1</c:v>
                </c:pt>
                <c:pt idx="67">
                  <c:v>3</c:v>
                </c:pt>
                <c:pt idx="68">
                  <c:v>11</c:v>
                </c:pt>
                <c:pt idx="69">
                  <c:v>4</c:v>
                </c:pt>
                <c:pt idx="70">
                  <c:v>13</c:v>
                </c:pt>
                <c:pt idx="71">
                  <c:v>17</c:v>
                </c:pt>
                <c:pt idx="72">
                  <c:v>3</c:v>
                </c:pt>
                <c:pt idx="73">
                  <c:v>0</c:v>
                </c:pt>
                <c:pt idx="74">
                  <c:v>86</c:v>
                </c:pt>
                <c:pt idx="75">
                  <c:v>0</c:v>
                </c:pt>
                <c:pt idx="76">
                  <c:v>44</c:v>
                </c:pt>
                <c:pt idx="77">
                  <c:v>5</c:v>
                </c:pt>
                <c:pt idx="78">
                  <c:v>0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8</c:v>
                </c:pt>
                <c:pt idx="83">
                  <c:v>0</c:v>
                </c:pt>
                <c:pt idx="84">
                  <c:v>0</c:v>
                </c:pt>
                <c:pt idx="85">
                  <c:v>8</c:v>
                </c:pt>
                <c:pt idx="86">
                  <c:v>0</c:v>
                </c:pt>
                <c:pt idx="87">
                  <c:v>11</c:v>
                </c:pt>
                <c:pt idx="88">
                  <c:v>6</c:v>
                </c:pt>
                <c:pt idx="89">
                  <c:v>3</c:v>
                </c:pt>
                <c:pt idx="90">
                  <c:v>10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3</c:v>
                </c:pt>
                <c:pt idx="97">
                  <c:v>40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7</c:v>
                </c:pt>
                <c:pt idx="104">
                  <c:v>0</c:v>
                </c:pt>
                <c:pt idx="105">
                  <c:v>0</c:v>
                </c:pt>
                <c:pt idx="106">
                  <c:v>3</c:v>
                </c:pt>
                <c:pt idx="107">
                  <c:v>0</c:v>
                </c:pt>
                <c:pt idx="108">
                  <c:v>1</c:v>
                </c:pt>
                <c:pt idx="109">
                  <c:v>4</c:v>
                </c:pt>
                <c:pt idx="110">
                  <c:v>8</c:v>
                </c:pt>
                <c:pt idx="111">
                  <c:v>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3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6</c:v>
                </c:pt>
                <c:pt idx="120">
                  <c:v>0</c:v>
                </c:pt>
                <c:pt idx="121">
                  <c:v>10</c:v>
                </c:pt>
                <c:pt idx="122">
                  <c:v>10</c:v>
                </c:pt>
                <c:pt idx="123">
                  <c:v>7</c:v>
                </c:pt>
                <c:pt idx="124">
                  <c:v>5</c:v>
                </c:pt>
                <c:pt idx="125">
                  <c:v>0</c:v>
                </c:pt>
                <c:pt idx="126">
                  <c:v>0</c:v>
                </c:pt>
                <c:pt idx="127">
                  <c:v>2</c:v>
                </c:pt>
                <c:pt idx="128">
                  <c:v>0</c:v>
                </c:pt>
                <c:pt idx="129">
                  <c:v>38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</c:v>
                </c:pt>
                <c:pt idx="141">
                  <c:v>12</c:v>
                </c:pt>
                <c:pt idx="142">
                  <c:v>2</c:v>
                </c:pt>
                <c:pt idx="143">
                  <c:v>4</c:v>
                </c:pt>
                <c:pt idx="144">
                  <c:v>4</c:v>
                </c:pt>
                <c:pt idx="145">
                  <c:v>3</c:v>
                </c:pt>
                <c:pt idx="146">
                  <c:v>0</c:v>
                </c:pt>
                <c:pt idx="147">
                  <c:v>0</c:v>
                </c:pt>
                <c:pt idx="148">
                  <c:v>16</c:v>
                </c:pt>
                <c:pt idx="149">
                  <c:v>5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15</c:v>
                </c:pt>
                <c:pt idx="154">
                  <c:v>0</c:v>
                </c:pt>
                <c:pt idx="155">
                  <c:v>0</c:v>
                </c:pt>
                <c:pt idx="156">
                  <c:v>6</c:v>
                </c:pt>
                <c:pt idx="157">
                  <c:v>3</c:v>
                </c:pt>
                <c:pt idx="158">
                  <c:v>1</c:v>
                </c:pt>
                <c:pt idx="159">
                  <c:v>0</c:v>
                </c:pt>
                <c:pt idx="160">
                  <c:v>3</c:v>
                </c:pt>
                <c:pt idx="161">
                  <c:v>7</c:v>
                </c:pt>
                <c:pt idx="162">
                  <c:v>1</c:v>
                </c:pt>
                <c:pt idx="163">
                  <c:v>2</c:v>
                </c:pt>
                <c:pt idx="164">
                  <c:v>5</c:v>
                </c:pt>
                <c:pt idx="165">
                  <c:v>11</c:v>
                </c:pt>
                <c:pt idx="166">
                  <c:v>4</c:v>
                </c:pt>
                <c:pt idx="167">
                  <c:v>16</c:v>
                </c:pt>
                <c:pt idx="168">
                  <c:v>0</c:v>
                </c:pt>
                <c:pt idx="169">
                  <c:v>0</c:v>
                </c:pt>
                <c:pt idx="170">
                  <c:v>2</c:v>
                </c:pt>
                <c:pt idx="171">
                  <c:v>3</c:v>
                </c:pt>
                <c:pt idx="172">
                  <c:v>2</c:v>
                </c:pt>
                <c:pt idx="173">
                  <c:v>2</c:v>
                </c:pt>
                <c:pt idx="174">
                  <c:v>0</c:v>
                </c:pt>
                <c:pt idx="175">
                  <c:v>1</c:v>
                </c:pt>
                <c:pt idx="176">
                  <c:v>0</c:v>
                </c:pt>
                <c:pt idx="177">
                  <c:v>2</c:v>
                </c:pt>
                <c:pt idx="178">
                  <c:v>3</c:v>
                </c:pt>
                <c:pt idx="179">
                  <c:v>3</c:v>
                </c:pt>
                <c:pt idx="180">
                  <c:v>1</c:v>
                </c:pt>
                <c:pt idx="181">
                  <c:v>1</c:v>
                </c:pt>
                <c:pt idx="182">
                  <c:v>2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9D2-4F70-AEA8-2B0D2A006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398248"/>
        <c:axId val="451672872"/>
      </c:barChart>
      <c:catAx>
        <c:axId val="1212398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Φωλιές
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Roboto"/>
              </a:defRPr>
            </a:pPr>
            <a:endParaRPr lang="el-GR"/>
          </a:p>
        </c:txPr>
        <c:crossAx val="451672872"/>
        <c:crosses val="autoZero"/>
        <c:auto val="1"/>
        <c:lblAlgn val="ctr"/>
        <c:lblOffset val="100"/>
        <c:noMultiLvlLbl val="1"/>
      </c:catAx>
      <c:valAx>
        <c:axId val="4516728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Αριθμ. αυγών/Ν° 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of eggs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21239824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Επιτυχία εκκόλαψης  (%)
(% 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Hatching success)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ΕΠΙ ΤΟΙΣ ΕΚΑΤΟ (%)</c:v>
          </c:tx>
          <c:spPr>
            <a:solidFill>
              <a:srgbClr val="9900FF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'ΕΚΚΟΛΑΨΗΣ-HATCHING'!$A$2:$A$197</c:f>
              <c:strCache>
                <c:ptCount val="194"/>
                <c:pt idx="0">
                  <c:v>1P</c:v>
                </c:pt>
                <c:pt idx="1">
                  <c:v>2P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9K</c:v>
                </c:pt>
                <c:pt idx="9">
                  <c:v>10P</c:v>
                </c:pt>
                <c:pt idx="10">
                  <c:v>11K</c:v>
                </c:pt>
                <c:pt idx="11">
                  <c:v>12K</c:v>
                </c:pt>
                <c:pt idx="12">
                  <c:v>13P</c:v>
                </c:pt>
                <c:pt idx="13">
                  <c:v>14K</c:v>
                </c:pt>
                <c:pt idx="14">
                  <c:v>15P</c:v>
                </c:pt>
                <c:pt idx="15">
                  <c:v>16K</c:v>
                </c:pt>
                <c:pt idx="16">
                  <c:v>17K</c:v>
                </c:pt>
                <c:pt idx="17">
                  <c:v>18P</c:v>
                </c:pt>
                <c:pt idx="18">
                  <c:v>19P</c:v>
                </c:pt>
                <c:pt idx="19">
                  <c:v>20P</c:v>
                </c:pt>
                <c:pt idx="20">
                  <c:v>21K</c:v>
                </c:pt>
                <c:pt idx="21">
                  <c:v>22K</c:v>
                </c:pt>
                <c:pt idx="22">
                  <c:v>23K</c:v>
                </c:pt>
                <c:pt idx="23">
                  <c:v>24K</c:v>
                </c:pt>
                <c:pt idx="24">
                  <c:v>25P</c:v>
                </c:pt>
                <c:pt idx="25">
                  <c:v>26P</c:v>
                </c:pt>
                <c:pt idx="26">
                  <c:v>27P</c:v>
                </c:pt>
                <c:pt idx="27">
                  <c:v>28K</c:v>
                </c:pt>
                <c:pt idx="28">
                  <c:v>29K</c:v>
                </c:pt>
                <c:pt idx="29">
                  <c:v>30K</c:v>
                </c:pt>
                <c:pt idx="30">
                  <c:v>31K</c:v>
                </c:pt>
                <c:pt idx="31">
                  <c:v>32K</c:v>
                </c:pt>
                <c:pt idx="32">
                  <c:v>33P</c:v>
                </c:pt>
                <c:pt idx="33">
                  <c:v>34K</c:v>
                </c:pt>
                <c:pt idx="34">
                  <c:v>35K</c:v>
                </c:pt>
                <c:pt idx="35">
                  <c:v>36K</c:v>
                </c:pt>
                <c:pt idx="36">
                  <c:v>37K</c:v>
                </c:pt>
                <c:pt idx="37">
                  <c:v>38P</c:v>
                </c:pt>
                <c:pt idx="38">
                  <c:v>39K</c:v>
                </c:pt>
                <c:pt idx="39">
                  <c:v>40P</c:v>
                </c:pt>
                <c:pt idx="40">
                  <c:v>41P</c:v>
                </c:pt>
                <c:pt idx="41">
                  <c:v>42K</c:v>
                </c:pt>
                <c:pt idx="42">
                  <c:v>43K</c:v>
                </c:pt>
                <c:pt idx="43">
                  <c:v>44K</c:v>
                </c:pt>
                <c:pt idx="44">
                  <c:v>45K</c:v>
                </c:pt>
                <c:pt idx="45">
                  <c:v>46K</c:v>
                </c:pt>
                <c:pt idx="46">
                  <c:v>47K</c:v>
                </c:pt>
                <c:pt idx="47">
                  <c:v>48K</c:v>
                </c:pt>
                <c:pt idx="48">
                  <c:v>49K</c:v>
                </c:pt>
                <c:pt idx="49">
                  <c:v>50K</c:v>
                </c:pt>
                <c:pt idx="50">
                  <c:v>51P</c:v>
                </c:pt>
                <c:pt idx="51">
                  <c:v>52K</c:v>
                </c:pt>
                <c:pt idx="52">
                  <c:v>53K</c:v>
                </c:pt>
                <c:pt idx="53">
                  <c:v>54K</c:v>
                </c:pt>
                <c:pt idx="54">
                  <c:v>55K</c:v>
                </c:pt>
                <c:pt idx="55">
                  <c:v>56K</c:v>
                </c:pt>
                <c:pt idx="56">
                  <c:v>57K</c:v>
                </c:pt>
                <c:pt idx="57">
                  <c:v>58K</c:v>
                </c:pt>
                <c:pt idx="58">
                  <c:v>59K</c:v>
                </c:pt>
                <c:pt idx="59">
                  <c:v>60P</c:v>
                </c:pt>
                <c:pt idx="60">
                  <c:v>61K</c:v>
                </c:pt>
                <c:pt idx="61">
                  <c:v>62K</c:v>
                </c:pt>
                <c:pt idx="62">
                  <c:v>63K</c:v>
                </c:pt>
                <c:pt idx="63">
                  <c:v>64P</c:v>
                </c:pt>
                <c:pt idx="64">
                  <c:v>65K</c:v>
                </c:pt>
                <c:pt idx="65">
                  <c:v>66P</c:v>
                </c:pt>
                <c:pt idx="66">
                  <c:v>67K</c:v>
                </c:pt>
                <c:pt idx="67">
                  <c:v>68K</c:v>
                </c:pt>
                <c:pt idx="68">
                  <c:v>69K</c:v>
                </c:pt>
                <c:pt idx="69">
                  <c:v>70P</c:v>
                </c:pt>
                <c:pt idx="70">
                  <c:v>71P</c:v>
                </c:pt>
                <c:pt idx="71">
                  <c:v>72K</c:v>
                </c:pt>
                <c:pt idx="72">
                  <c:v>73K</c:v>
                </c:pt>
                <c:pt idx="73">
                  <c:v>74K</c:v>
                </c:pt>
                <c:pt idx="74">
                  <c:v>75K</c:v>
                </c:pt>
                <c:pt idx="75">
                  <c:v>77P</c:v>
                </c:pt>
                <c:pt idx="76">
                  <c:v>78K</c:v>
                </c:pt>
                <c:pt idx="77">
                  <c:v>79P</c:v>
                </c:pt>
                <c:pt idx="78">
                  <c:v>80P</c:v>
                </c:pt>
                <c:pt idx="79">
                  <c:v>82K</c:v>
                </c:pt>
                <c:pt idx="80">
                  <c:v>85P</c:v>
                </c:pt>
                <c:pt idx="81">
                  <c:v>86K</c:v>
                </c:pt>
                <c:pt idx="82">
                  <c:v>87P</c:v>
                </c:pt>
                <c:pt idx="83">
                  <c:v>88K</c:v>
                </c:pt>
                <c:pt idx="84">
                  <c:v>89P</c:v>
                </c:pt>
                <c:pt idx="85">
                  <c:v>91K</c:v>
                </c:pt>
                <c:pt idx="86">
                  <c:v>92P</c:v>
                </c:pt>
                <c:pt idx="87">
                  <c:v>96P</c:v>
                </c:pt>
                <c:pt idx="88">
                  <c:v>97P</c:v>
                </c:pt>
                <c:pt idx="89">
                  <c:v>98P</c:v>
                </c:pt>
                <c:pt idx="90">
                  <c:v>100P</c:v>
                </c:pt>
                <c:pt idx="91">
                  <c:v>101P</c:v>
                </c:pt>
                <c:pt idx="92">
                  <c:v>102P</c:v>
                </c:pt>
                <c:pt idx="93">
                  <c:v>103K</c:v>
                </c:pt>
                <c:pt idx="94">
                  <c:v>104K</c:v>
                </c:pt>
                <c:pt idx="95">
                  <c:v>105P</c:v>
                </c:pt>
                <c:pt idx="96">
                  <c:v>106K</c:v>
                </c:pt>
                <c:pt idx="97">
                  <c:v>108K</c:v>
                </c:pt>
                <c:pt idx="98">
                  <c:v>109K</c:v>
                </c:pt>
                <c:pt idx="99">
                  <c:v>111K</c:v>
                </c:pt>
                <c:pt idx="100">
                  <c:v>113K</c:v>
                </c:pt>
                <c:pt idx="101">
                  <c:v>114P</c:v>
                </c:pt>
                <c:pt idx="102">
                  <c:v>115K</c:v>
                </c:pt>
                <c:pt idx="103">
                  <c:v>120P</c:v>
                </c:pt>
                <c:pt idx="104">
                  <c:v>121P</c:v>
                </c:pt>
                <c:pt idx="105">
                  <c:v>122K</c:v>
                </c:pt>
                <c:pt idx="106">
                  <c:v>123K</c:v>
                </c:pt>
                <c:pt idx="107">
                  <c:v>124P</c:v>
                </c:pt>
                <c:pt idx="108">
                  <c:v>125P</c:v>
                </c:pt>
                <c:pt idx="109">
                  <c:v>126K</c:v>
                </c:pt>
                <c:pt idx="110">
                  <c:v>127K</c:v>
                </c:pt>
                <c:pt idx="111">
                  <c:v>128K</c:v>
                </c:pt>
                <c:pt idx="112">
                  <c:v>129K</c:v>
                </c:pt>
                <c:pt idx="113">
                  <c:v>130P</c:v>
                </c:pt>
                <c:pt idx="114">
                  <c:v>131P</c:v>
                </c:pt>
                <c:pt idx="115">
                  <c:v>133K</c:v>
                </c:pt>
                <c:pt idx="116">
                  <c:v>135K</c:v>
                </c:pt>
                <c:pt idx="117">
                  <c:v>136K</c:v>
                </c:pt>
                <c:pt idx="118">
                  <c:v>137K</c:v>
                </c:pt>
                <c:pt idx="119">
                  <c:v>140K</c:v>
                </c:pt>
                <c:pt idx="120">
                  <c:v>141K</c:v>
                </c:pt>
                <c:pt idx="121">
                  <c:v>142P</c:v>
                </c:pt>
                <c:pt idx="122">
                  <c:v>143P</c:v>
                </c:pt>
                <c:pt idx="123">
                  <c:v>144P</c:v>
                </c:pt>
                <c:pt idx="124">
                  <c:v>145K</c:v>
                </c:pt>
                <c:pt idx="125">
                  <c:v>146K</c:v>
                </c:pt>
                <c:pt idx="126">
                  <c:v>147K</c:v>
                </c:pt>
                <c:pt idx="127">
                  <c:v>149P</c:v>
                </c:pt>
                <c:pt idx="128">
                  <c:v>150K</c:v>
                </c:pt>
                <c:pt idx="129">
                  <c:v>151P</c:v>
                </c:pt>
                <c:pt idx="130">
                  <c:v>152P</c:v>
                </c:pt>
                <c:pt idx="131">
                  <c:v>153K</c:v>
                </c:pt>
                <c:pt idx="132">
                  <c:v>154K</c:v>
                </c:pt>
                <c:pt idx="133">
                  <c:v>155P</c:v>
                </c:pt>
                <c:pt idx="134">
                  <c:v>156K</c:v>
                </c:pt>
                <c:pt idx="135">
                  <c:v>157P</c:v>
                </c:pt>
                <c:pt idx="136">
                  <c:v>158K</c:v>
                </c:pt>
                <c:pt idx="137">
                  <c:v>159P</c:v>
                </c:pt>
                <c:pt idx="138">
                  <c:v>162P</c:v>
                </c:pt>
                <c:pt idx="139">
                  <c:v>164K</c:v>
                </c:pt>
                <c:pt idx="140">
                  <c:v>165K</c:v>
                </c:pt>
                <c:pt idx="141">
                  <c:v>167K</c:v>
                </c:pt>
                <c:pt idx="142">
                  <c:v>169P</c:v>
                </c:pt>
                <c:pt idx="143">
                  <c:v>170K</c:v>
                </c:pt>
                <c:pt idx="144">
                  <c:v>173P</c:v>
                </c:pt>
                <c:pt idx="145">
                  <c:v>174P</c:v>
                </c:pt>
                <c:pt idx="146">
                  <c:v>175K</c:v>
                </c:pt>
                <c:pt idx="147">
                  <c:v>176K</c:v>
                </c:pt>
                <c:pt idx="148">
                  <c:v>177P</c:v>
                </c:pt>
                <c:pt idx="149">
                  <c:v>178K</c:v>
                </c:pt>
                <c:pt idx="150">
                  <c:v>179P</c:v>
                </c:pt>
                <c:pt idx="151">
                  <c:v>180P</c:v>
                </c:pt>
                <c:pt idx="152">
                  <c:v>182K</c:v>
                </c:pt>
                <c:pt idx="153">
                  <c:v>183K</c:v>
                </c:pt>
                <c:pt idx="154">
                  <c:v>184P</c:v>
                </c:pt>
                <c:pt idx="155">
                  <c:v>185P</c:v>
                </c:pt>
                <c:pt idx="156">
                  <c:v>187K</c:v>
                </c:pt>
                <c:pt idx="157">
                  <c:v>188K</c:v>
                </c:pt>
                <c:pt idx="158">
                  <c:v>189P</c:v>
                </c:pt>
                <c:pt idx="159">
                  <c:v>190K</c:v>
                </c:pt>
                <c:pt idx="160">
                  <c:v>191K</c:v>
                </c:pt>
                <c:pt idx="161">
                  <c:v>192K</c:v>
                </c:pt>
                <c:pt idx="162">
                  <c:v>194P</c:v>
                </c:pt>
                <c:pt idx="163">
                  <c:v>195K</c:v>
                </c:pt>
                <c:pt idx="164">
                  <c:v>196K</c:v>
                </c:pt>
                <c:pt idx="165">
                  <c:v>197P</c:v>
                </c:pt>
                <c:pt idx="166">
                  <c:v>198K</c:v>
                </c:pt>
                <c:pt idx="167">
                  <c:v>199K</c:v>
                </c:pt>
                <c:pt idx="168">
                  <c:v>200P</c:v>
                </c:pt>
                <c:pt idx="169">
                  <c:v>201K</c:v>
                </c:pt>
                <c:pt idx="170">
                  <c:v>203K</c:v>
                </c:pt>
                <c:pt idx="171">
                  <c:v>206K</c:v>
                </c:pt>
                <c:pt idx="172">
                  <c:v>207K</c:v>
                </c:pt>
                <c:pt idx="173">
                  <c:v>208K</c:v>
                </c:pt>
                <c:pt idx="174">
                  <c:v>209P</c:v>
                </c:pt>
                <c:pt idx="175">
                  <c:v>210K</c:v>
                </c:pt>
                <c:pt idx="176">
                  <c:v>211K</c:v>
                </c:pt>
                <c:pt idx="177">
                  <c:v>212P</c:v>
                </c:pt>
                <c:pt idx="178">
                  <c:v>213P</c:v>
                </c:pt>
                <c:pt idx="179">
                  <c:v>214K</c:v>
                </c:pt>
                <c:pt idx="180">
                  <c:v>215K</c:v>
                </c:pt>
                <c:pt idx="181">
                  <c:v>218K</c:v>
                </c:pt>
                <c:pt idx="182">
                  <c:v>219K</c:v>
                </c:pt>
                <c:pt idx="183">
                  <c:v>220K</c:v>
                </c:pt>
                <c:pt idx="184">
                  <c:v>223K</c:v>
                </c:pt>
                <c:pt idx="185">
                  <c:v>227K</c:v>
                </c:pt>
                <c:pt idx="186">
                  <c:v>228P</c:v>
                </c:pt>
                <c:pt idx="187">
                  <c:v>229K</c:v>
                </c:pt>
                <c:pt idx="188">
                  <c:v>230K</c:v>
                </c:pt>
                <c:pt idx="189">
                  <c:v>231K</c:v>
                </c:pt>
                <c:pt idx="190">
                  <c:v>232K</c:v>
                </c:pt>
                <c:pt idx="191">
                  <c:v>233K</c:v>
                </c:pt>
                <c:pt idx="192">
                  <c:v>234K</c:v>
                </c:pt>
                <c:pt idx="193">
                  <c:v>235K</c:v>
                </c:pt>
              </c:strCache>
            </c:strRef>
          </c:cat>
          <c:val>
            <c:numRef>
              <c:f>'ΕΚΚΟΛΑΨΗΣ-HATCHING'!$D$2:$D$197</c:f>
              <c:numCache>
                <c:formatCode>#,##0.00</c:formatCode>
                <c:ptCount val="196"/>
                <c:pt idx="0">
                  <c:v>97.142857142857139</c:v>
                </c:pt>
                <c:pt idx="1">
                  <c:v>98.924731182795696</c:v>
                </c:pt>
                <c:pt idx="2">
                  <c:v>0</c:v>
                </c:pt>
                <c:pt idx="3">
                  <c:v>0</c:v>
                </c:pt>
                <c:pt idx="4">
                  <c:v>98.71794871794873</c:v>
                </c:pt>
                <c:pt idx="5">
                  <c:v>100</c:v>
                </c:pt>
                <c:pt idx="6">
                  <c:v>98.360655737704917</c:v>
                </c:pt>
                <c:pt idx="7">
                  <c:v>87.755102040816325</c:v>
                </c:pt>
                <c:pt idx="8">
                  <c:v>55.769230769230774</c:v>
                </c:pt>
                <c:pt idx="9">
                  <c:v>87.128712871287135</c:v>
                </c:pt>
                <c:pt idx="10">
                  <c:v>0</c:v>
                </c:pt>
                <c:pt idx="11">
                  <c:v>98.181818181818187</c:v>
                </c:pt>
                <c:pt idx="12">
                  <c:v>98.591549295774655</c:v>
                </c:pt>
                <c:pt idx="13">
                  <c:v>100</c:v>
                </c:pt>
                <c:pt idx="14">
                  <c:v>100</c:v>
                </c:pt>
                <c:pt idx="15">
                  <c:v>98.979591836734699</c:v>
                </c:pt>
                <c:pt idx="16">
                  <c:v>91.666666666666657</c:v>
                </c:pt>
                <c:pt idx="17">
                  <c:v>97.31543624161074</c:v>
                </c:pt>
                <c:pt idx="18">
                  <c:v>100</c:v>
                </c:pt>
                <c:pt idx="19">
                  <c:v>98.095238095238088</c:v>
                </c:pt>
                <c:pt idx="20">
                  <c:v>100</c:v>
                </c:pt>
                <c:pt idx="21">
                  <c:v>94.73684210526315</c:v>
                </c:pt>
                <c:pt idx="22">
                  <c:v>0</c:v>
                </c:pt>
                <c:pt idx="23">
                  <c:v>97.52066115702479</c:v>
                </c:pt>
                <c:pt idx="24">
                  <c:v>93.333333333333329</c:v>
                </c:pt>
                <c:pt idx="25">
                  <c:v>96.638655462184872</c:v>
                </c:pt>
                <c:pt idx="26">
                  <c:v>96.629213483146074</c:v>
                </c:pt>
                <c:pt idx="27">
                  <c:v>98.734177215189874</c:v>
                </c:pt>
                <c:pt idx="28">
                  <c:v>100</c:v>
                </c:pt>
                <c:pt idx="29">
                  <c:v>0</c:v>
                </c:pt>
                <c:pt idx="30">
                  <c:v>98.039215686274503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0</c:v>
                </c:pt>
                <c:pt idx="35">
                  <c:v>0</c:v>
                </c:pt>
                <c:pt idx="36">
                  <c:v>97.087378640776706</c:v>
                </c:pt>
                <c:pt idx="37">
                  <c:v>0</c:v>
                </c:pt>
                <c:pt idx="38">
                  <c:v>0</c:v>
                </c:pt>
                <c:pt idx="39">
                  <c:v>88.888888888888886</c:v>
                </c:pt>
                <c:pt idx="40">
                  <c:v>95.714285714285722</c:v>
                </c:pt>
                <c:pt idx="41">
                  <c:v>0</c:v>
                </c:pt>
                <c:pt idx="42">
                  <c:v>0</c:v>
                </c:pt>
                <c:pt idx="43">
                  <c:v>82.8125</c:v>
                </c:pt>
                <c:pt idx="44">
                  <c:v>99.065420560747668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100</c:v>
                </c:pt>
                <c:pt idx="50">
                  <c:v>0</c:v>
                </c:pt>
                <c:pt idx="51">
                  <c:v>0</c:v>
                </c:pt>
                <c:pt idx="52">
                  <c:v>98.71794871794873</c:v>
                </c:pt>
                <c:pt idx="53">
                  <c:v>95.384615384615387</c:v>
                </c:pt>
                <c:pt idx="54">
                  <c:v>100</c:v>
                </c:pt>
                <c:pt idx="55">
                  <c:v>94.029850746268664</c:v>
                </c:pt>
                <c:pt idx="56">
                  <c:v>100</c:v>
                </c:pt>
                <c:pt idx="57">
                  <c:v>94.897959183673478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100</c:v>
                </c:pt>
                <c:pt idx="62">
                  <c:v>96.907216494845358</c:v>
                </c:pt>
                <c:pt idx="63">
                  <c:v>100</c:v>
                </c:pt>
                <c:pt idx="64">
                  <c:v>74.647887323943664</c:v>
                </c:pt>
                <c:pt idx="65">
                  <c:v>100</c:v>
                </c:pt>
                <c:pt idx="66">
                  <c:v>96.341463414634148</c:v>
                </c:pt>
                <c:pt idx="67">
                  <c:v>100</c:v>
                </c:pt>
                <c:pt idx="68">
                  <c:v>98.529411764705884</c:v>
                </c:pt>
                <c:pt idx="69">
                  <c:v>96.15384615384616</c:v>
                </c:pt>
                <c:pt idx="70">
                  <c:v>94.623655913978496</c:v>
                </c:pt>
                <c:pt idx="71">
                  <c:v>96.610169491525426</c:v>
                </c:pt>
                <c:pt idx="72">
                  <c:v>100</c:v>
                </c:pt>
                <c:pt idx="73">
                  <c:v>0</c:v>
                </c:pt>
                <c:pt idx="74">
                  <c:v>98.039215686274503</c:v>
                </c:pt>
                <c:pt idx="75">
                  <c:v>0</c:v>
                </c:pt>
                <c:pt idx="76">
                  <c:v>95.161290322580655</c:v>
                </c:pt>
                <c:pt idx="77">
                  <c:v>100</c:v>
                </c:pt>
                <c:pt idx="78">
                  <c:v>0</c:v>
                </c:pt>
                <c:pt idx="79">
                  <c:v>0</c:v>
                </c:pt>
                <c:pt idx="80">
                  <c:v>98.924731182795696</c:v>
                </c:pt>
                <c:pt idx="81">
                  <c:v>98.611111111111114</c:v>
                </c:pt>
                <c:pt idx="82">
                  <c:v>97.5</c:v>
                </c:pt>
                <c:pt idx="83">
                  <c:v>0</c:v>
                </c:pt>
                <c:pt idx="84">
                  <c:v>0</c:v>
                </c:pt>
                <c:pt idx="85">
                  <c:v>96.739130434782609</c:v>
                </c:pt>
                <c:pt idx="86">
                  <c:v>0</c:v>
                </c:pt>
                <c:pt idx="87">
                  <c:v>24.324324324324326</c:v>
                </c:pt>
                <c:pt idx="88">
                  <c:v>98.591549295774655</c:v>
                </c:pt>
                <c:pt idx="89">
                  <c:v>91.34615384615384</c:v>
                </c:pt>
                <c:pt idx="90">
                  <c:v>98.876404494382015</c:v>
                </c:pt>
                <c:pt idx="91">
                  <c:v>0</c:v>
                </c:pt>
                <c:pt idx="92">
                  <c:v>0</c:v>
                </c:pt>
                <c:pt idx="93">
                  <c:v>98.039215686274503</c:v>
                </c:pt>
                <c:pt idx="94">
                  <c:v>0</c:v>
                </c:pt>
                <c:pt idx="95">
                  <c:v>0</c:v>
                </c:pt>
                <c:pt idx="96">
                  <c:v>100</c:v>
                </c:pt>
                <c:pt idx="97">
                  <c:v>36.764705882352942</c:v>
                </c:pt>
                <c:pt idx="98">
                  <c:v>0</c:v>
                </c:pt>
                <c:pt idx="99">
                  <c:v>97.727272727272734</c:v>
                </c:pt>
                <c:pt idx="100">
                  <c:v>0</c:v>
                </c:pt>
                <c:pt idx="101">
                  <c:v>100</c:v>
                </c:pt>
                <c:pt idx="102">
                  <c:v>0</c:v>
                </c:pt>
                <c:pt idx="103">
                  <c:v>94.117647058823522</c:v>
                </c:pt>
                <c:pt idx="104">
                  <c:v>0</c:v>
                </c:pt>
                <c:pt idx="105">
                  <c:v>0</c:v>
                </c:pt>
                <c:pt idx="106">
                  <c:v>100</c:v>
                </c:pt>
                <c:pt idx="107">
                  <c:v>0</c:v>
                </c:pt>
                <c:pt idx="108">
                  <c:v>100</c:v>
                </c:pt>
                <c:pt idx="109">
                  <c:v>95.744680851063833</c:v>
                </c:pt>
                <c:pt idx="110">
                  <c:v>97.27272727272728</c:v>
                </c:pt>
                <c:pt idx="111">
                  <c:v>91.139240506329116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97.222222222222214</c:v>
                </c:pt>
                <c:pt idx="116">
                  <c:v>0</c:v>
                </c:pt>
                <c:pt idx="117">
                  <c:v>100</c:v>
                </c:pt>
                <c:pt idx="118">
                  <c:v>0</c:v>
                </c:pt>
                <c:pt idx="119">
                  <c:v>100</c:v>
                </c:pt>
                <c:pt idx="120">
                  <c:v>0</c:v>
                </c:pt>
                <c:pt idx="121">
                  <c:v>0</c:v>
                </c:pt>
                <c:pt idx="122">
                  <c:v>100</c:v>
                </c:pt>
                <c:pt idx="123">
                  <c:v>96.84210526315789</c:v>
                </c:pt>
                <c:pt idx="124">
                  <c:v>96.84210526315789</c:v>
                </c:pt>
                <c:pt idx="125">
                  <c:v>0</c:v>
                </c:pt>
                <c:pt idx="126">
                  <c:v>0</c:v>
                </c:pt>
                <c:pt idx="127">
                  <c:v>90</c:v>
                </c:pt>
                <c:pt idx="128">
                  <c:v>0</c:v>
                </c:pt>
                <c:pt idx="129">
                  <c:v>92.592592592592595</c:v>
                </c:pt>
                <c:pt idx="130">
                  <c:v>100</c:v>
                </c:pt>
                <c:pt idx="131">
                  <c:v>0</c:v>
                </c:pt>
                <c:pt idx="132">
                  <c:v>100</c:v>
                </c:pt>
                <c:pt idx="133">
                  <c:v>100</c:v>
                </c:pt>
                <c:pt idx="134">
                  <c:v>90.196078431372555</c:v>
                </c:pt>
                <c:pt idx="135">
                  <c:v>98.734177215189874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100</c:v>
                </c:pt>
                <c:pt idx="141">
                  <c:v>85.882352941176464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93.827160493827151</c:v>
                </c:pt>
                <c:pt idx="146">
                  <c:v>0</c:v>
                </c:pt>
                <c:pt idx="147">
                  <c:v>0</c:v>
                </c:pt>
                <c:pt idx="148">
                  <c:v>95.945945945945937</c:v>
                </c:pt>
                <c:pt idx="149">
                  <c:v>97.701149425287355</c:v>
                </c:pt>
                <c:pt idx="150">
                  <c:v>0</c:v>
                </c:pt>
                <c:pt idx="151">
                  <c:v>0</c:v>
                </c:pt>
                <c:pt idx="152">
                  <c:v>97.959183673469383</c:v>
                </c:pt>
                <c:pt idx="153">
                  <c:v>55.319148936170215</c:v>
                </c:pt>
                <c:pt idx="154">
                  <c:v>100</c:v>
                </c:pt>
                <c:pt idx="155">
                  <c:v>0</c:v>
                </c:pt>
                <c:pt idx="156">
                  <c:v>98.165137614678898</c:v>
                </c:pt>
                <c:pt idx="157">
                  <c:v>95.918367346938766</c:v>
                </c:pt>
                <c:pt idx="158">
                  <c:v>82.178217821782169</c:v>
                </c:pt>
                <c:pt idx="159">
                  <c:v>0</c:v>
                </c:pt>
                <c:pt idx="160">
                  <c:v>95.522388059701484</c:v>
                </c:pt>
                <c:pt idx="161">
                  <c:v>96.590909090909093</c:v>
                </c:pt>
                <c:pt idx="162">
                  <c:v>100</c:v>
                </c:pt>
                <c:pt idx="163">
                  <c:v>96.721311475409834</c:v>
                </c:pt>
                <c:pt idx="164">
                  <c:v>98.979591836734699</c:v>
                </c:pt>
                <c:pt idx="165">
                  <c:v>94.642857142857139</c:v>
                </c:pt>
                <c:pt idx="166">
                  <c:v>98</c:v>
                </c:pt>
                <c:pt idx="167">
                  <c:v>51.111111111111107</c:v>
                </c:pt>
                <c:pt idx="168">
                  <c:v>0</c:v>
                </c:pt>
                <c:pt idx="169">
                  <c:v>0</c:v>
                </c:pt>
                <c:pt idx="170">
                  <c:v>98.958333333333343</c:v>
                </c:pt>
                <c:pt idx="171">
                  <c:v>98.648648648648646</c:v>
                </c:pt>
                <c:pt idx="172">
                  <c:v>94.666666666666671</c:v>
                </c:pt>
                <c:pt idx="173">
                  <c:v>98.611111111111114</c:v>
                </c:pt>
                <c:pt idx="174">
                  <c:v>0</c:v>
                </c:pt>
                <c:pt idx="175">
                  <c:v>100</c:v>
                </c:pt>
                <c:pt idx="176">
                  <c:v>88.135593220338976</c:v>
                </c:pt>
                <c:pt idx="177">
                  <c:v>100</c:v>
                </c:pt>
                <c:pt idx="178">
                  <c:v>94.285714285714278</c:v>
                </c:pt>
                <c:pt idx="179">
                  <c:v>96.938775510204081</c:v>
                </c:pt>
                <c:pt idx="180">
                  <c:v>100</c:v>
                </c:pt>
                <c:pt idx="181">
                  <c:v>100</c:v>
                </c:pt>
                <c:pt idx="182">
                  <c:v>83.333333333333343</c:v>
                </c:pt>
                <c:pt idx="183">
                  <c:v>98.734177215189874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93.333333333333329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B17-498F-A435-181A838EE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034021"/>
        <c:axId val="851398524"/>
      </c:barChart>
      <c:catAx>
        <c:axId val="18350340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Φωλιές/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851398524"/>
        <c:crosses val="autoZero"/>
        <c:auto val="1"/>
        <c:lblAlgn val="ctr"/>
        <c:lblOffset val="100"/>
        <c:noMultiLvlLbl val="1"/>
      </c:catAx>
      <c:valAx>
        <c:axId val="8513985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Επιτυχία εκκόλαψης  (%)
(% 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Hatching success)</a:t>
                </a:r>
              </a:p>
            </c:rich>
          </c:tx>
          <c:overlay val="0"/>
        </c:title>
        <c:numFmt formatCode="#,##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835034021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Σύνολο αριθμού αυγών μη εκκολαφθένων ανά εκσκαμένη φωλιά - ακτή Μούντας 2021
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Eggs unhatched total number per nest excavated - Mounda beach 2021)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4.2934415145368492E-2"/>
          <c:y val="0.15360360360360356"/>
          <c:w val="0.88979039891818801"/>
          <c:h val="0.68813154550783273"/>
        </c:manualLayout>
      </c:layout>
      <c:barChart>
        <c:barDir val="col"/>
        <c:grouping val="clustered"/>
        <c:varyColors val="1"/>
        <c:ser>
          <c:idx val="0"/>
          <c:order val="0"/>
          <c:tx>
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</c:tx>
          <c:spPr>
            <a:solidFill>
              <a:srgbClr val="0000FF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'ΜΗ ΕΚΚΟΛΑΦΘΕΝΤΑ-UNHATCHED'!$A$2:$A$197</c:f>
              <c:strCache>
                <c:ptCount val="194"/>
                <c:pt idx="0">
                  <c:v>1P</c:v>
                </c:pt>
                <c:pt idx="1">
                  <c:v>2P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9K</c:v>
                </c:pt>
                <c:pt idx="9">
                  <c:v>10P</c:v>
                </c:pt>
                <c:pt idx="10">
                  <c:v>11K</c:v>
                </c:pt>
                <c:pt idx="11">
                  <c:v>12K</c:v>
                </c:pt>
                <c:pt idx="12">
                  <c:v>13P</c:v>
                </c:pt>
                <c:pt idx="13">
                  <c:v>14K</c:v>
                </c:pt>
                <c:pt idx="14">
                  <c:v>15P</c:v>
                </c:pt>
                <c:pt idx="15">
                  <c:v>16K</c:v>
                </c:pt>
                <c:pt idx="16">
                  <c:v>17K</c:v>
                </c:pt>
                <c:pt idx="17">
                  <c:v>18P</c:v>
                </c:pt>
                <c:pt idx="18">
                  <c:v>19P</c:v>
                </c:pt>
                <c:pt idx="19">
                  <c:v>20P</c:v>
                </c:pt>
                <c:pt idx="20">
                  <c:v>21K</c:v>
                </c:pt>
                <c:pt idx="21">
                  <c:v>22K</c:v>
                </c:pt>
                <c:pt idx="22">
                  <c:v>23K</c:v>
                </c:pt>
                <c:pt idx="23">
                  <c:v>24K</c:v>
                </c:pt>
                <c:pt idx="24">
                  <c:v>25P</c:v>
                </c:pt>
                <c:pt idx="25">
                  <c:v>26P</c:v>
                </c:pt>
                <c:pt idx="26">
                  <c:v>27P</c:v>
                </c:pt>
                <c:pt idx="27">
                  <c:v>28K</c:v>
                </c:pt>
                <c:pt idx="28">
                  <c:v>29K</c:v>
                </c:pt>
                <c:pt idx="29">
                  <c:v>30K</c:v>
                </c:pt>
                <c:pt idx="30">
                  <c:v>31K</c:v>
                </c:pt>
                <c:pt idx="31">
                  <c:v>32K</c:v>
                </c:pt>
                <c:pt idx="32">
                  <c:v>33P</c:v>
                </c:pt>
                <c:pt idx="33">
                  <c:v>34K</c:v>
                </c:pt>
                <c:pt idx="34">
                  <c:v>35K</c:v>
                </c:pt>
                <c:pt idx="35">
                  <c:v>36K</c:v>
                </c:pt>
                <c:pt idx="36">
                  <c:v>37K</c:v>
                </c:pt>
                <c:pt idx="37">
                  <c:v>38P</c:v>
                </c:pt>
                <c:pt idx="38">
                  <c:v>39K</c:v>
                </c:pt>
                <c:pt idx="39">
                  <c:v>40P</c:v>
                </c:pt>
                <c:pt idx="40">
                  <c:v>41P</c:v>
                </c:pt>
                <c:pt idx="41">
                  <c:v>42K</c:v>
                </c:pt>
                <c:pt idx="42">
                  <c:v>43K</c:v>
                </c:pt>
                <c:pt idx="43">
                  <c:v>44K</c:v>
                </c:pt>
                <c:pt idx="44">
                  <c:v>45K</c:v>
                </c:pt>
                <c:pt idx="45">
                  <c:v>46K</c:v>
                </c:pt>
                <c:pt idx="46">
                  <c:v>47K</c:v>
                </c:pt>
                <c:pt idx="47">
                  <c:v>48K</c:v>
                </c:pt>
                <c:pt idx="48">
                  <c:v>49K</c:v>
                </c:pt>
                <c:pt idx="49">
                  <c:v>50K</c:v>
                </c:pt>
                <c:pt idx="50">
                  <c:v>51P</c:v>
                </c:pt>
                <c:pt idx="51">
                  <c:v>52K</c:v>
                </c:pt>
                <c:pt idx="52">
                  <c:v>53K</c:v>
                </c:pt>
                <c:pt idx="53">
                  <c:v>54K</c:v>
                </c:pt>
                <c:pt idx="54">
                  <c:v>55K</c:v>
                </c:pt>
                <c:pt idx="55">
                  <c:v>56K</c:v>
                </c:pt>
                <c:pt idx="56">
                  <c:v>57K</c:v>
                </c:pt>
                <c:pt idx="57">
                  <c:v>58K</c:v>
                </c:pt>
                <c:pt idx="58">
                  <c:v>59K</c:v>
                </c:pt>
                <c:pt idx="59">
                  <c:v>60P</c:v>
                </c:pt>
                <c:pt idx="60">
                  <c:v>61K</c:v>
                </c:pt>
                <c:pt idx="61">
                  <c:v>62K</c:v>
                </c:pt>
                <c:pt idx="62">
                  <c:v>63K</c:v>
                </c:pt>
                <c:pt idx="63">
                  <c:v>64P</c:v>
                </c:pt>
                <c:pt idx="64">
                  <c:v>65K</c:v>
                </c:pt>
                <c:pt idx="65">
                  <c:v>66P</c:v>
                </c:pt>
                <c:pt idx="66">
                  <c:v>67K</c:v>
                </c:pt>
                <c:pt idx="67">
                  <c:v>68K</c:v>
                </c:pt>
                <c:pt idx="68">
                  <c:v>69K</c:v>
                </c:pt>
                <c:pt idx="69">
                  <c:v>70P</c:v>
                </c:pt>
                <c:pt idx="70">
                  <c:v>71P</c:v>
                </c:pt>
                <c:pt idx="71">
                  <c:v>72K</c:v>
                </c:pt>
                <c:pt idx="72">
                  <c:v>73K</c:v>
                </c:pt>
                <c:pt idx="73">
                  <c:v>74K</c:v>
                </c:pt>
                <c:pt idx="74">
                  <c:v>75K</c:v>
                </c:pt>
                <c:pt idx="75">
                  <c:v>77P</c:v>
                </c:pt>
                <c:pt idx="76">
                  <c:v>78K</c:v>
                </c:pt>
                <c:pt idx="77">
                  <c:v>79P</c:v>
                </c:pt>
                <c:pt idx="78">
                  <c:v>80P</c:v>
                </c:pt>
                <c:pt idx="79">
                  <c:v>82K</c:v>
                </c:pt>
                <c:pt idx="80">
                  <c:v>85P</c:v>
                </c:pt>
                <c:pt idx="81">
                  <c:v>86K</c:v>
                </c:pt>
                <c:pt idx="82">
                  <c:v>87P</c:v>
                </c:pt>
                <c:pt idx="83">
                  <c:v>88K</c:v>
                </c:pt>
                <c:pt idx="84">
                  <c:v>89P</c:v>
                </c:pt>
                <c:pt idx="85">
                  <c:v>91K</c:v>
                </c:pt>
                <c:pt idx="86">
                  <c:v>92P</c:v>
                </c:pt>
                <c:pt idx="87">
                  <c:v>96P</c:v>
                </c:pt>
                <c:pt idx="88">
                  <c:v>97P</c:v>
                </c:pt>
                <c:pt idx="89">
                  <c:v>98P</c:v>
                </c:pt>
                <c:pt idx="90">
                  <c:v>100P</c:v>
                </c:pt>
                <c:pt idx="91">
                  <c:v>101P</c:v>
                </c:pt>
                <c:pt idx="92">
                  <c:v>102P</c:v>
                </c:pt>
                <c:pt idx="93">
                  <c:v>103K</c:v>
                </c:pt>
                <c:pt idx="94">
                  <c:v>104K</c:v>
                </c:pt>
                <c:pt idx="95">
                  <c:v>105P</c:v>
                </c:pt>
                <c:pt idx="96">
                  <c:v>106K</c:v>
                </c:pt>
                <c:pt idx="97">
                  <c:v>108K</c:v>
                </c:pt>
                <c:pt idx="98">
                  <c:v>109K</c:v>
                </c:pt>
                <c:pt idx="99">
                  <c:v>111K</c:v>
                </c:pt>
                <c:pt idx="100">
                  <c:v>113K</c:v>
                </c:pt>
                <c:pt idx="101">
                  <c:v>114P</c:v>
                </c:pt>
                <c:pt idx="102">
                  <c:v>115K</c:v>
                </c:pt>
                <c:pt idx="103">
                  <c:v>120P</c:v>
                </c:pt>
                <c:pt idx="104">
                  <c:v>121P</c:v>
                </c:pt>
                <c:pt idx="105">
                  <c:v>122K</c:v>
                </c:pt>
                <c:pt idx="106">
                  <c:v>123K</c:v>
                </c:pt>
                <c:pt idx="107">
                  <c:v>124P</c:v>
                </c:pt>
                <c:pt idx="108">
                  <c:v>125P</c:v>
                </c:pt>
                <c:pt idx="109">
                  <c:v>126K</c:v>
                </c:pt>
                <c:pt idx="110">
                  <c:v>127K</c:v>
                </c:pt>
                <c:pt idx="111">
                  <c:v>128K</c:v>
                </c:pt>
                <c:pt idx="112">
                  <c:v>129K</c:v>
                </c:pt>
                <c:pt idx="113">
                  <c:v>130P</c:v>
                </c:pt>
                <c:pt idx="114">
                  <c:v>131P</c:v>
                </c:pt>
                <c:pt idx="115">
                  <c:v>133K</c:v>
                </c:pt>
                <c:pt idx="116">
                  <c:v>135K</c:v>
                </c:pt>
                <c:pt idx="117">
                  <c:v>136K</c:v>
                </c:pt>
                <c:pt idx="118">
                  <c:v>137K</c:v>
                </c:pt>
                <c:pt idx="119">
                  <c:v>140K</c:v>
                </c:pt>
                <c:pt idx="120">
                  <c:v>141K</c:v>
                </c:pt>
                <c:pt idx="121">
                  <c:v>142P</c:v>
                </c:pt>
                <c:pt idx="122">
                  <c:v>143P</c:v>
                </c:pt>
                <c:pt idx="123">
                  <c:v>144P</c:v>
                </c:pt>
                <c:pt idx="124">
                  <c:v>145K</c:v>
                </c:pt>
                <c:pt idx="125">
                  <c:v>146K</c:v>
                </c:pt>
                <c:pt idx="126">
                  <c:v>147K</c:v>
                </c:pt>
                <c:pt idx="127">
                  <c:v>149P</c:v>
                </c:pt>
                <c:pt idx="128">
                  <c:v>150K</c:v>
                </c:pt>
                <c:pt idx="129">
                  <c:v>151P</c:v>
                </c:pt>
                <c:pt idx="130">
                  <c:v>152P</c:v>
                </c:pt>
                <c:pt idx="131">
                  <c:v>153K</c:v>
                </c:pt>
                <c:pt idx="132">
                  <c:v>154K</c:v>
                </c:pt>
                <c:pt idx="133">
                  <c:v>155P</c:v>
                </c:pt>
                <c:pt idx="134">
                  <c:v>156K</c:v>
                </c:pt>
                <c:pt idx="135">
                  <c:v>157P</c:v>
                </c:pt>
                <c:pt idx="136">
                  <c:v>158K</c:v>
                </c:pt>
                <c:pt idx="137">
                  <c:v>159P</c:v>
                </c:pt>
                <c:pt idx="138">
                  <c:v>162P</c:v>
                </c:pt>
                <c:pt idx="139">
                  <c:v>164K</c:v>
                </c:pt>
                <c:pt idx="140">
                  <c:v>165K</c:v>
                </c:pt>
                <c:pt idx="141">
                  <c:v>167K</c:v>
                </c:pt>
                <c:pt idx="142">
                  <c:v>169P</c:v>
                </c:pt>
                <c:pt idx="143">
                  <c:v>170K</c:v>
                </c:pt>
                <c:pt idx="144">
                  <c:v>173P</c:v>
                </c:pt>
                <c:pt idx="145">
                  <c:v>174P</c:v>
                </c:pt>
                <c:pt idx="146">
                  <c:v>175K</c:v>
                </c:pt>
                <c:pt idx="147">
                  <c:v>176K</c:v>
                </c:pt>
                <c:pt idx="148">
                  <c:v>177P</c:v>
                </c:pt>
                <c:pt idx="149">
                  <c:v>178K</c:v>
                </c:pt>
                <c:pt idx="150">
                  <c:v>179P</c:v>
                </c:pt>
                <c:pt idx="151">
                  <c:v>180P</c:v>
                </c:pt>
                <c:pt idx="152">
                  <c:v>182K</c:v>
                </c:pt>
                <c:pt idx="153">
                  <c:v>183K</c:v>
                </c:pt>
                <c:pt idx="154">
                  <c:v>184P</c:v>
                </c:pt>
                <c:pt idx="155">
                  <c:v>185P</c:v>
                </c:pt>
                <c:pt idx="156">
                  <c:v>187K</c:v>
                </c:pt>
                <c:pt idx="157">
                  <c:v>188K</c:v>
                </c:pt>
                <c:pt idx="158">
                  <c:v>189P</c:v>
                </c:pt>
                <c:pt idx="159">
                  <c:v>190K</c:v>
                </c:pt>
                <c:pt idx="160">
                  <c:v>191K</c:v>
                </c:pt>
                <c:pt idx="161">
                  <c:v>192K</c:v>
                </c:pt>
                <c:pt idx="162">
                  <c:v>194P</c:v>
                </c:pt>
                <c:pt idx="163">
                  <c:v>195K</c:v>
                </c:pt>
                <c:pt idx="164">
                  <c:v>196K</c:v>
                </c:pt>
                <c:pt idx="165">
                  <c:v>197P</c:v>
                </c:pt>
                <c:pt idx="166">
                  <c:v>198K</c:v>
                </c:pt>
                <c:pt idx="167">
                  <c:v>199K</c:v>
                </c:pt>
                <c:pt idx="168">
                  <c:v>200P</c:v>
                </c:pt>
                <c:pt idx="169">
                  <c:v>201K</c:v>
                </c:pt>
                <c:pt idx="170">
                  <c:v>203K</c:v>
                </c:pt>
                <c:pt idx="171">
                  <c:v>206K</c:v>
                </c:pt>
                <c:pt idx="172">
                  <c:v>207K</c:v>
                </c:pt>
                <c:pt idx="173">
                  <c:v>208K</c:v>
                </c:pt>
                <c:pt idx="174">
                  <c:v>209P</c:v>
                </c:pt>
                <c:pt idx="175">
                  <c:v>210K</c:v>
                </c:pt>
                <c:pt idx="176">
                  <c:v>211K</c:v>
                </c:pt>
                <c:pt idx="177">
                  <c:v>212P</c:v>
                </c:pt>
                <c:pt idx="178">
                  <c:v>213P</c:v>
                </c:pt>
                <c:pt idx="179">
                  <c:v>214K</c:v>
                </c:pt>
                <c:pt idx="180">
                  <c:v>215K</c:v>
                </c:pt>
                <c:pt idx="181">
                  <c:v>218K</c:v>
                </c:pt>
                <c:pt idx="182">
                  <c:v>219K</c:v>
                </c:pt>
                <c:pt idx="183">
                  <c:v>220K</c:v>
                </c:pt>
                <c:pt idx="184">
                  <c:v>223K</c:v>
                </c:pt>
                <c:pt idx="185">
                  <c:v>227K</c:v>
                </c:pt>
                <c:pt idx="186">
                  <c:v>228P</c:v>
                </c:pt>
                <c:pt idx="187">
                  <c:v>229K</c:v>
                </c:pt>
                <c:pt idx="188">
                  <c:v>230K</c:v>
                </c:pt>
                <c:pt idx="189">
                  <c:v>231K</c:v>
                </c:pt>
                <c:pt idx="190">
                  <c:v>232K</c:v>
                </c:pt>
                <c:pt idx="191">
                  <c:v>233K</c:v>
                </c:pt>
                <c:pt idx="192">
                  <c:v>234K</c:v>
                </c:pt>
                <c:pt idx="193">
                  <c:v>235K</c:v>
                </c:pt>
              </c:strCache>
            </c:strRef>
          </c:cat>
          <c:val>
            <c:numRef>
              <c:f>'ΜΗ ΕΚΚΟΛΑΦΘΕΝΤΑ-UNHATCHED'!$B$2:$B$197</c:f>
              <c:numCache>
                <c:formatCode>General</c:formatCode>
                <c:ptCount val="196"/>
                <c:pt idx="0">
                  <c:v>113</c:v>
                </c:pt>
                <c:pt idx="1">
                  <c:v>99</c:v>
                </c:pt>
                <c:pt idx="2">
                  <c:v>0</c:v>
                </c:pt>
                <c:pt idx="3">
                  <c:v>117</c:v>
                </c:pt>
                <c:pt idx="4">
                  <c:v>95</c:v>
                </c:pt>
                <c:pt idx="5">
                  <c:v>40</c:v>
                </c:pt>
                <c:pt idx="6">
                  <c:v>140</c:v>
                </c:pt>
                <c:pt idx="7">
                  <c:v>58</c:v>
                </c:pt>
                <c:pt idx="8">
                  <c:v>65</c:v>
                </c:pt>
                <c:pt idx="9">
                  <c:v>133</c:v>
                </c:pt>
                <c:pt idx="10">
                  <c:v>0</c:v>
                </c:pt>
                <c:pt idx="11">
                  <c:v>111</c:v>
                </c:pt>
                <c:pt idx="12">
                  <c:v>113</c:v>
                </c:pt>
                <c:pt idx="13">
                  <c:v>118</c:v>
                </c:pt>
                <c:pt idx="14">
                  <c:v>65</c:v>
                </c:pt>
                <c:pt idx="15">
                  <c:v>122</c:v>
                </c:pt>
                <c:pt idx="16">
                  <c:v>104</c:v>
                </c:pt>
                <c:pt idx="17">
                  <c:v>149</c:v>
                </c:pt>
                <c:pt idx="18">
                  <c:v>149</c:v>
                </c:pt>
                <c:pt idx="19">
                  <c:v>114</c:v>
                </c:pt>
                <c:pt idx="20">
                  <c:v>137</c:v>
                </c:pt>
                <c:pt idx="21">
                  <c:v>111</c:v>
                </c:pt>
                <c:pt idx="22">
                  <c:v>0</c:v>
                </c:pt>
                <c:pt idx="23">
                  <c:v>129</c:v>
                </c:pt>
                <c:pt idx="24">
                  <c:v>160</c:v>
                </c:pt>
                <c:pt idx="25">
                  <c:v>126</c:v>
                </c:pt>
                <c:pt idx="26">
                  <c:v>107</c:v>
                </c:pt>
                <c:pt idx="27">
                  <c:v>81</c:v>
                </c:pt>
                <c:pt idx="28">
                  <c:v>65</c:v>
                </c:pt>
                <c:pt idx="29">
                  <c:v>0</c:v>
                </c:pt>
                <c:pt idx="30">
                  <c:v>112</c:v>
                </c:pt>
                <c:pt idx="31">
                  <c:v>117</c:v>
                </c:pt>
                <c:pt idx="32">
                  <c:v>104</c:v>
                </c:pt>
                <c:pt idx="33">
                  <c:v>63</c:v>
                </c:pt>
                <c:pt idx="34">
                  <c:v>0</c:v>
                </c:pt>
                <c:pt idx="35">
                  <c:v>0</c:v>
                </c:pt>
                <c:pt idx="36">
                  <c:v>106</c:v>
                </c:pt>
                <c:pt idx="37">
                  <c:v>0</c:v>
                </c:pt>
                <c:pt idx="38">
                  <c:v>0</c:v>
                </c:pt>
                <c:pt idx="39">
                  <c:v>102</c:v>
                </c:pt>
                <c:pt idx="40">
                  <c:v>86</c:v>
                </c:pt>
                <c:pt idx="41">
                  <c:v>0</c:v>
                </c:pt>
                <c:pt idx="42">
                  <c:v>0</c:v>
                </c:pt>
                <c:pt idx="43">
                  <c:v>68</c:v>
                </c:pt>
                <c:pt idx="44">
                  <c:v>121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84</c:v>
                </c:pt>
                <c:pt idx="49">
                  <c:v>65</c:v>
                </c:pt>
                <c:pt idx="50">
                  <c:v>0</c:v>
                </c:pt>
                <c:pt idx="51">
                  <c:v>0</c:v>
                </c:pt>
                <c:pt idx="52">
                  <c:v>81</c:v>
                </c:pt>
                <c:pt idx="53">
                  <c:v>130</c:v>
                </c:pt>
                <c:pt idx="54">
                  <c:v>0</c:v>
                </c:pt>
                <c:pt idx="55">
                  <c:v>70</c:v>
                </c:pt>
                <c:pt idx="56">
                  <c:v>0</c:v>
                </c:pt>
                <c:pt idx="57">
                  <c:v>122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76</c:v>
                </c:pt>
                <c:pt idx="62">
                  <c:v>105</c:v>
                </c:pt>
                <c:pt idx="63">
                  <c:v>81</c:v>
                </c:pt>
                <c:pt idx="64">
                  <c:v>75</c:v>
                </c:pt>
                <c:pt idx="65">
                  <c:v>105</c:v>
                </c:pt>
                <c:pt idx="66">
                  <c:v>83</c:v>
                </c:pt>
                <c:pt idx="67">
                  <c:v>97</c:v>
                </c:pt>
                <c:pt idx="68">
                  <c:v>79</c:v>
                </c:pt>
                <c:pt idx="69">
                  <c:v>108</c:v>
                </c:pt>
                <c:pt idx="70">
                  <c:v>106</c:v>
                </c:pt>
                <c:pt idx="71">
                  <c:v>135</c:v>
                </c:pt>
                <c:pt idx="72">
                  <c:v>86</c:v>
                </c:pt>
                <c:pt idx="73">
                  <c:v>0</c:v>
                </c:pt>
                <c:pt idx="74">
                  <c:v>137</c:v>
                </c:pt>
                <c:pt idx="75">
                  <c:v>0</c:v>
                </c:pt>
                <c:pt idx="76">
                  <c:v>106</c:v>
                </c:pt>
                <c:pt idx="77">
                  <c:v>93</c:v>
                </c:pt>
                <c:pt idx="78">
                  <c:v>0</c:v>
                </c:pt>
                <c:pt idx="79">
                  <c:v>0</c:v>
                </c:pt>
                <c:pt idx="80">
                  <c:v>95</c:v>
                </c:pt>
                <c:pt idx="81">
                  <c:v>72</c:v>
                </c:pt>
                <c:pt idx="82">
                  <c:v>88</c:v>
                </c:pt>
                <c:pt idx="83">
                  <c:v>0</c:v>
                </c:pt>
                <c:pt idx="84">
                  <c:v>0</c:v>
                </c:pt>
                <c:pt idx="85">
                  <c:v>100</c:v>
                </c:pt>
                <c:pt idx="86">
                  <c:v>0</c:v>
                </c:pt>
                <c:pt idx="87">
                  <c:v>85</c:v>
                </c:pt>
                <c:pt idx="88">
                  <c:v>77</c:v>
                </c:pt>
                <c:pt idx="89">
                  <c:v>107</c:v>
                </c:pt>
                <c:pt idx="90">
                  <c:v>99</c:v>
                </c:pt>
                <c:pt idx="91">
                  <c:v>0</c:v>
                </c:pt>
                <c:pt idx="92">
                  <c:v>0</c:v>
                </c:pt>
                <c:pt idx="93">
                  <c:v>52</c:v>
                </c:pt>
                <c:pt idx="94">
                  <c:v>0</c:v>
                </c:pt>
                <c:pt idx="95">
                  <c:v>0</c:v>
                </c:pt>
                <c:pt idx="96">
                  <c:v>112</c:v>
                </c:pt>
                <c:pt idx="97">
                  <c:v>108</c:v>
                </c:pt>
                <c:pt idx="98">
                  <c:v>0</c:v>
                </c:pt>
                <c:pt idx="99">
                  <c:v>45</c:v>
                </c:pt>
                <c:pt idx="100">
                  <c:v>0</c:v>
                </c:pt>
                <c:pt idx="101">
                  <c:v>68</c:v>
                </c:pt>
                <c:pt idx="102">
                  <c:v>0</c:v>
                </c:pt>
                <c:pt idx="103">
                  <c:v>92</c:v>
                </c:pt>
                <c:pt idx="104">
                  <c:v>0</c:v>
                </c:pt>
                <c:pt idx="105">
                  <c:v>0</c:v>
                </c:pt>
                <c:pt idx="106">
                  <c:v>82</c:v>
                </c:pt>
                <c:pt idx="107">
                  <c:v>0</c:v>
                </c:pt>
                <c:pt idx="108">
                  <c:v>84</c:v>
                </c:pt>
                <c:pt idx="109">
                  <c:v>98</c:v>
                </c:pt>
                <c:pt idx="110">
                  <c:v>118</c:v>
                </c:pt>
                <c:pt idx="111">
                  <c:v>81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75</c:v>
                </c:pt>
                <c:pt idx="116">
                  <c:v>0</c:v>
                </c:pt>
                <c:pt idx="117">
                  <c:v>84</c:v>
                </c:pt>
                <c:pt idx="118">
                  <c:v>0</c:v>
                </c:pt>
                <c:pt idx="119">
                  <c:v>69</c:v>
                </c:pt>
                <c:pt idx="120">
                  <c:v>0</c:v>
                </c:pt>
                <c:pt idx="121">
                  <c:v>15</c:v>
                </c:pt>
                <c:pt idx="122">
                  <c:v>82</c:v>
                </c:pt>
                <c:pt idx="123">
                  <c:v>102</c:v>
                </c:pt>
                <c:pt idx="124">
                  <c:v>100</c:v>
                </c:pt>
                <c:pt idx="125">
                  <c:v>18</c:v>
                </c:pt>
                <c:pt idx="126">
                  <c:v>0</c:v>
                </c:pt>
                <c:pt idx="127">
                  <c:v>92</c:v>
                </c:pt>
                <c:pt idx="128">
                  <c:v>0</c:v>
                </c:pt>
                <c:pt idx="129">
                  <c:v>92</c:v>
                </c:pt>
                <c:pt idx="130">
                  <c:v>67</c:v>
                </c:pt>
                <c:pt idx="131">
                  <c:v>0</c:v>
                </c:pt>
                <c:pt idx="132">
                  <c:v>92</c:v>
                </c:pt>
                <c:pt idx="133">
                  <c:v>91</c:v>
                </c:pt>
                <c:pt idx="134">
                  <c:v>53</c:v>
                </c:pt>
                <c:pt idx="135">
                  <c:v>79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98</c:v>
                </c:pt>
                <c:pt idx="141">
                  <c:v>97</c:v>
                </c:pt>
                <c:pt idx="142">
                  <c:v>79</c:v>
                </c:pt>
                <c:pt idx="143">
                  <c:v>72</c:v>
                </c:pt>
                <c:pt idx="144">
                  <c:v>77</c:v>
                </c:pt>
                <c:pt idx="145">
                  <c:v>84</c:v>
                </c:pt>
                <c:pt idx="146">
                  <c:v>0</c:v>
                </c:pt>
                <c:pt idx="147">
                  <c:v>0</c:v>
                </c:pt>
                <c:pt idx="148">
                  <c:v>90</c:v>
                </c:pt>
                <c:pt idx="149">
                  <c:v>92</c:v>
                </c:pt>
                <c:pt idx="150">
                  <c:v>0</c:v>
                </c:pt>
                <c:pt idx="151">
                  <c:v>0</c:v>
                </c:pt>
                <c:pt idx="152">
                  <c:v>50</c:v>
                </c:pt>
                <c:pt idx="153">
                  <c:v>62</c:v>
                </c:pt>
                <c:pt idx="154">
                  <c:v>75</c:v>
                </c:pt>
                <c:pt idx="155">
                  <c:v>0</c:v>
                </c:pt>
                <c:pt idx="156">
                  <c:v>115</c:v>
                </c:pt>
                <c:pt idx="157">
                  <c:v>52</c:v>
                </c:pt>
                <c:pt idx="158">
                  <c:v>102</c:v>
                </c:pt>
                <c:pt idx="159">
                  <c:v>0</c:v>
                </c:pt>
                <c:pt idx="160">
                  <c:v>70</c:v>
                </c:pt>
                <c:pt idx="161">
                  <c:v>95</c:v>
                </c:pt>
                <c:pt idx="162">
                  <c:v>111</c:v>
                </c:pt>
                <c:pt idx="163">
                  <c:v>63</c:v>
                </c:pt>
                <c:pt idx="164">
                  <c:v>103</c:v>
                </c:pt>
                <c:pt idx="165">
                  <c:v>67</c:v>
                </c:pt>
                <c:pt idx="166">
                  <c:v>54</c:v>
                </c:pt>
                <c:pt idx="167">
                  <c:v>61</c:v>
                </c:pt>
                <c:pt idx="168">
                  <c:v>0</c:v>
                </c:pt>
                <c:pt idx="169">
                  <c:v>0</c:v>
                </c:pt>
                <c:pt idx="170">
                  <c:v>98</c:v>
                </c:pt>
                <c:pt idx="171">
                  <c:v>77</c:v>
                </c:pt>
                <c:pt idx="172">
                  <c:v>77</c:v>
                </c:pt>
                <c:pt idx="173">
                  <c:v>74</c:v>
                </c:pt>
                <c:pt idx="174">
                  <c:v>0</c:v>
                </c:pt>
                <c:pt idx="175">
                  <c:v>66</c:v>
                </c:pt>
                <c:pt idx="176">
                  <c:v>59</c:v>
                </c:pt>
                <c:pt idx="177">
                  <c:v>98</c:v>
                </c:pt>
                <c:pt idx="178">
                  <c:v>73</c:v>
                </c:pt>
                <c:pt idx="179">
                  <c:v>101</c:v>
                </c:pt>
                <c:pt idx="180">
                  <c:v>100</c:v>
                </c:pt>
                <c:pt idx="181">
                  <c:v>93</c:v>
                </c:pt>
                <c:pt idx="182">
                  <c:v>62</c:v>
                </c:pt>
                <c:pt idx="183">
                  <c:v>80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7D7-4A71-8014-7D609043476A}"/>
            </c:ext>
          </c:extLst>
        </c:ser>
        <c:ser>
          <c:idx val="1"/>
          <c:order val="1"/>
          <c:tx>
            <c:v>Σύνολο αριθμού μη εκκολαφθέντων                                      (Total unhatched number)</c:v>
          </c:tx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'ΜΗ ΕΚΚΟΛΑΦΘΕΝΤΑ-UNHATCHED'!$A$2:$A$197</c:f>
              <c:strCache>
                <c:ptCount val="194"/>
                <c:pt idx="0">
                  <c:v>1P</c:v>
                </c:pt>
                <c:pt idx="1">
                  <c:v>2P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9K</c:v>
                </c:pt>
                <c:pt idx="9">
                  <c:v>10P</c:v>
                </c:pt>
                <c:pt idx="10">
                  <c:v>11K</c:v>
                </c:pt>
                <c:pt idx="11">
                  <c:v>12K</c:v>
                </c:pt>
                <c:pt idx="12">
                  <c:v>13P</c:v>
                </c:pt>
                <c:pt idx="13">
                  <c:v>14K</c:v>
                </c:pt>
                <c:pt idx="14">
                  <c:v>15P</c:v>
                </c:pt>
                <c:pt idx="15">
                  <c:v>16K</c:v>
                </c:pt>
                <c:pt idx="16">
                  <c:v>17K</c:v>
                </c:pt>
                <c:pt idx="17">
                  <c:v>18P</c:v>
                </c:pt>
                <c:pt idx="18">
                  <c:v>19P</c:v>
                </c:pt>
                <c:pt idx="19">
                  <c:v>20P</c:v>
                </c:pt>
                <c:pt idx="20">
                  <c:v>21K</c:v>
                </c:pt>
                <c:pt idx="21">
                  <c:v>22K</c:v>
                </c:pt>
                <c:pt idx="22">
                  <c:v>23K</c:v>
                </c:pt>
                <c:pt idx="23">
                  <c:v>24K</c:v>
                </c:pt>
                <c:pt idx="24">
                  <c:v>25P</c:v>
                </c:pt>
                <c:pt idx="25">
                  <c:v>26P</c:v>
                </c:pt>
                <c:pt idx="26">
                  <c:v>27P</c:v>
                </c:pt>
                <c:pt idx="27">
                  <c:v>28K</c:v>
                </c:pt>
                <c:pt idx="28">
                  <c:v>29K</c:v>
                </c:pt>
                <c:pt idx="29">
                  <c:v>30K</c:v>
                </c:pt>
                <c:pt idx="30">
                  <c:v>31K</c:v>
                </c:pt>
                <c:pt idx="31">
                  <c:v>32K</c:v>
                </c:pt>
                <c:pt idx="32">
                  <c:v>33P</c:v>
                </c:pt>
                <c:pt idx="33">
                  <c:v>34K</c:v>
                </c:pt>
                <c:pt idx="34">
                  <c:v>35K</c:v>
                </c:pt>
                <c:pt idx="35">
                  <c:v>36K</c:v>
                </c:pt>
                <c:pt idx="36">
                  <c:v>37K</c:v>
                </c:pt>
                <c:pt idx="37">
                  <c:v>38P</c:v>
                </c:pt>
                <c:pt idx="38">
                  <c:v>39K</c:v>
                </c:pt>
                <c:pt idx="39">
                  <c:v>40P</c:v>
                </c:pt>
                <c:pt idx="40">
                  <c:v>41P</c:v>
                </c:pt>
                <c:pt idx="41">
                  <c:v>42K</c:v>
                </c:pt>
                <c:pt idx="42">
                  <c:v>43K</c:v>
                </c:pt>
                <c:pt idx="43">
                  <c:v>44K</c:v>
                </c:pt>
                <c:pt idx="44">
                  <c:v>45K</c:v>
                </c:pt>
                <c:pt idx="45">
                  <c:v>46K</c:v>
                </c:pt>
                <c:pt idx="46">
                  <c:v>47K</c:v>
                </c:pt>
                <c:pt idx="47">
                  <c:v>48K</c:v>
                </c:pt>
                <c:pt idx="48">
                  <c:v>49K</c:v>
                </c:pt>
                <c:pt idx="49">
                  <c:v>50K</c:v>
                </c:pt>
                <c:pt idx="50">
                  <c:v>51P</c:v>
                </c:pt>
                <c:pt idx="51">
                  <c:v>52K</c:v>
                </c:pt>
                <c:pt idx="52">
                  <c:v>53K</c:v>
                </c:pt>
                <c:pt idx="53">
                  <c:v>54K</c:v>
                </c:pt>
                <c:pt idx="54">
                  <c:v>55K</c:v>
                </c:pt>
                <c:pt idx="55">
                  <c:v>56K</c:v>
                </c:pt>
                <c:pt idx="56">
                  <c:v>57K</c:v>
                </c:pt>
                <c:pt idx="57">
                  <c:v>58K</c:v>
                </c:pt>
                <c:pt idx="58">
                  <c:v>59K</c:v>
                </c:pt>
                <c:pt idx="59">
                  <c:v>60P</c:v>
                </c:pt>
                <c:pt idx="60">
                  <c:v>61K</c:v>
                </c:pt>
                <c:pt idx="61">
                  <c:v>62K</c:v>
                </c:pt>
                <c:pt idx="62">
                  <c:v>63K</c:v>
                </c:pt>
                <c:pt idx="63">
                  <c:v>64P</c:v>
                </c:pt>
                <c:pt idx="64">
                  <c:v>65K</c:v>
                </c:pt>
                <c:pt idx="65">
                  <c:v>66P</c:v>
                </c:pt>
                <c:pt idx="66">
                  <c:v>67K</c:v>
                </c:pt>
                <c:pt idx="67">
                  <c:v>68K</c:v>
                </c:pt>
                <c:pt idx="68">
                  <c:v>69K</c:v>
                </c:pt>
                <c:pt idx="69">
                  <c:v>70P</c:v>
                </c:pt>
                <c:pt idx="70">
                  <c:v>71P</c:v>
                </c:pt>
                <c:pt idx="71">
                  <c:v>72K</c:v>
                </c:pt>
                <c:pt idx="72">
                  <c:v>73K</c:v>
                </c:pt>
                <c:pt idx="73">
                  <c:v>74K</c:v>
                </c:pt>
                <c:pt idx="74">
                  <c:v>75K</c:v>
                </c:pt>
                <c:pt idx="75">
                  <c:v>77P</c:v>
                </c:pt>
                <c:pt idx="76">
                  <c:v>78K</c:v>
                </c:pt>
                <c:pt idx="77">
                  <c:v>79P</c:v>
                </c:pt>
                <c:pt idx="78">
                  <c:v>80P</c:v>
                </c:pt>
                <c:pt idx="79">
                  <c:v>82K</c:v>
                </c:pt>
                <c:pt idx="80">
                  <c:v>85P</c:v>
                </c:pt>
                <c:pt idx="81">
                  <c:v>86K</c:v>
                </c:pt>
                <c:pt idx="82">
                  <c:v>87P</c:v>
                </c:pt>
                <c:pt idx="83">
                  <c:v>88K</c:v>
                </c:pt>
                <c:pt idx="84">
                  <c:v>89P</c:v>
                </c:pt>
                <c:pt idx="85">
                  <c:v>91K</c:v>
                </c:pt>
                <c:pt idx="86">
                  <c:v>92P</c:v>
                </c:pt>
                <c:pt idx="87">
                  <c:v>96P</c:v>
                </c:pt>
                <c:pt idx="88">
                  <c:v>97P</c:v>
                </c:pt>
                <c:pt idx="89">
                  <c:v>98P</c:v>
                </c:pt>
                <c:pt idx="90">
                  <c:v>100P</c:v>
                </c:pt>
                <c:pt idx="91">
                  <c:v>101P</c:v>
                </c:pt>
                <c:pt idx="92">
                  <c:v>102P</c:v>
                </c:pt>
                <c:pt idx="93">
                  <c:v>103K</c:v>
                </c:pt>
                <c:pt idx="94">
                  <c:v>104K</c:v>
                </c:pt>
                <c:pt idx="95">
                  <c:v>105P</c:v>
                </c:pt>
                <c:pt idx="96">
                  <c:v>106K</c:v>
                </c:pt>
                <c:pt idx="97">
                  <c:v>108K</c:v>
                </c:pt>
                <c:pt idx="98">
                  <c:v>109K</c:v>
                </c:pt>
                <c:pt idx="99">
                  <c:v>111K</c:v>
                </c:pt>
                <c:pt idx="100">
                  <c:v>113K</c:v>
                </c:pt>
                <c:pt idx="101">
                  <c:v>114P</c:v>
                </c:pt>
                <c:pt idx="102">
                  <c:v>115K</c:v>
                </c:pt>
                <c:pt idx="103">
                  <c:v>120P</c:v>
                </c:pt>
                <c:pt idx="104">
                  <c:v>121P</c:v>
                </c:pt>
                <c:pt idx="105">
                  <c:v>122K</c:v>
                </c:pt>
                <c:pt idx="106">
                  <c:v>123K</c:v>
                </c:pt>
                <c:pt idx="107">
                  <c:v>124P</c:v>
                </c:pt>
                <c:pt idx="108">
                  <c:v>125P</c:v>
                </c:pt>
                <c:pt idx="109">
                  <c:v>126K</c:v>
                </c:pt>
                <c:pt idx="110">
                  <c:v>127K</c:v>
                </c:pt>
                <c:pt idx="111">
                  <c:v>128K</c:v>
                </c:pt>
                <c:pt idx="112">
                  <c:v>129K</c:v>
                </c:pt>
                <c:pt idx="113">
                  <c:v>130P</c:v>
                </c:pt>
                <c:pt idx="114">
                  <c:v>131P</c:v>
                </c:pt>
                <c:pt idx="115">
                  <c:v>133K</c:v>
                </c:pt>
                <c:pt idx="116">
                  <c:v>135K</c:v>
                </c:pt>
                <c:pt idx="117">
                  <c:v>136K</c:v>
                </c:pt>
                <c:pt idx="118">
                  <c:v>137K</c:v>
                </c:pt>
                <c:pt idx="119">
                  <c:v>140K</c:v>
                </c:pt>
                <c:pt idx="120">
                  <c:v>141K</c:v>
                </c:pt>
                <c:pt idx="121">
                  <c:v>142P</c:v>
                </c:pt>
                <c:pt idx="122">
                  <c:v>143P</c:v>
                </c:pt>
                <c:pt idx="123">
                  <c:v>144P</c:v>
                </c:pt>
                <c:pt idx="124">
                  <c:v>145K</c:v>
                </c:pt>
                <c:pt idx="125">
                  <c:v>146K</c:v>
                </c:pt>
                <c:pt idx="126">
                  <c:v>147K</c:v>
                </c:pt>
                <c:pt idx="127">
                  <c:v>149P</c:v>
                </c:pt>
                <c:pt idx="128">
                  <c:v>150K</c:v>
                </c:pt>
                <c:pt idx="129">
                  <c:v>151P</c:v>
                </c:pt>
                <c:pt idx="130">
                  <c:v>152P</c:v>
                </c:pt>
                <c:pt idx="131">
                  <c:v>153K</c:v>
                </c:pt>
                <c:pt idx="132">
                  <c:v>154K</c:v>
                </c:pt>
                <c:pt idx="133">
                  <c:v>155P</c:v>
                </c:pt>
                <c:pt idx="134">
                  <c:v>156K</c:v>
                </c:pt>
                <c:pt idx="135">
                  <c:v>157P</c:v>
                </c:pt>
                <c:pt idx="136">
                  <c:v>158K</c:v>
                </c:pt>
                <c:pt idx="137">
                  <c:v>159P</c:v>
                </c:pt>
                <c:pt idx="138">
                  <c:v>162P</c:v>
                </c:pt>
                <c:pt idx="139">
                  <c:v>164K</c:v>
                </c:pt>
                <c:pt idx="140">
                  <c:v>165K</c:v>
                </c:pt>
                <c:pt idx="141">
                  <c:v>167K</c:v>
                </c:pt>
                <c:pt idx="142">
                  <c:v>169P</c:v>
                </c:pt>
                <c:pt idx="143">
                  <c:v>170K</c:v>
                </c:pt>
                <c:pt idx="144">
                  <c:v>173P</c:v>
                </c:pt>
                <c:pt idx="145">
                  <c:v>174P</c:v>
                </c:pt>
                <c:pt idx="146">
                  <c:v>175K</c:v>
                </c:pt>
                <c:pt idx="147">
                  <c:v>176K</c:v>
                </c:pt>
                <c:pt idx="148">
                  <c:v>177P</c:v>
                </c:pt>
                <c:pt idx="149">
                  <c:v>178K</c:v>
                </c:pt>
                <c:pt idx="150">
                  <c:v>179P</c:v>
                </c:pt>
                <c:pt idx="151">
                  <c:v>180P</c:v>
                </c:pt>
                <c:pt idx="152">
                  <c:v>182K</c:v>
                </c:pt>
                <c:pt idx="153">
                  <c:v>183K</c:v>
                </c:pt>
                <c:pt idx="154">
                  <c:v>184P</c:v>
                </c:pt>
                <c:pt idx="155">
                  <c:v>185P</c:v>
                </c:pt>
                <c:pt idx="156">
                  <c:v>187K</c:v>
                </c:pt>
                <c:pt idx="157">
                  <c:v>188K</c:v>
                </c:pt>
                <c:pt idx="158">
                  <c:v>189P</c:v>
                </c:pt>
                <c:pt idx="159">
                  <c:v>190K</c:v>
                </c:pt>
                <c:pt idx="160">
                  <c:v>191K</c:v>
                </c:pt>
                <c:pt idx="161">
                  <c:v>192K</c:v>
                </c:pt>
                <c:pt idx="162">
                  <c:v>194P</c:v>
                </c:pt>
                <c:pt idx="163">
                  <c:v>195K</c:v>
                </c:pt>
                <c:pt idx="164">
                  <c:v>196K</c:v>
                </c:pt>
                <c:pt idx="165">
                  <c:v>197P</c:v>
                </c:pt>
                <c:pt idx="166">
                  <c:v>198K</c:v>
                </c:pt>
                <c:pt idx="167">
                  <c:v>199K</c:v>
                </c:pt>
                <c:pt idx="168">
                  <c:v>200P</c:v>
                </c:pt>
                <c:pt idx="169">
                  <c:v>201K</c:v>
                </c:pt>
                <c:pt idx="170">
                  <c:v>203K</c:v>
                </c:pt>
                <c:pt idx="171">
                  <c:v>206K</c:v>
                </c:pt>
                <c:pt idx="172">
                  <c:v>207K</c:v>
                </c:pt>
                <c:pt idx="173">
                  <c:v>208K</c:v>
                </c:pt>
                <c:pt idx="174">
                  <c:v>209P</c:v>
                </c:pt>
                <c:pt idx="175">
                  <c:v>210K</c:v>
                </c:pt>
                <c:pt idx="176">
                  <c:v>211K</c:v>
                </c:pt>
                <c:pt idx="177">
                  <c:v>212P</c:v>
                </c:pt>
                <c:pt idx="178">
                  <c:v>213P</c:v>
                </c:pt>
                <c:pt idx="179">
                  <c:v>214K</c:v>
                </c:pt>
                <c:pt idx="180">
                  <c:v>215K</c:v>
                </c:pt>
                <c:pt idx="181">
                  <c:v>218K</c:v>
                </c:pt>
                <c:pt idx="182">
                  <c:v>219K</c:v>
                </c:pt>
                <c:pt idx="183">
                  <c:v>220K</c:v>
                </c:pt>
                <c:pt idx="184">
                  <c:v>223K</c:v>
                </c:pt>
                <c:pt idx="185">
                  <c:v>227K</c:v>
                </c:pt>
                <c:pt idx="186">
                  <c:v>228P</c:v>
                </c:pt>
                <c:pt idx="187">
                  <c:v>229K</c:v>
                </c:pt>
                <c:pt idx="188">
                  <c:v>230K</c:v>
                </c:pt>
                <c:pt idx="189">
                  <c:v>231K</c:v>
                </c:pt>
                <c:pt idx="190">
                  <c:v>232K</c:v>
                </c:pt>
                <c:pt idx="191">
                  <c:v>233K</c:v>
                </c:pt>
                <c:pt idx="192">
                  <c:v>234K</c:v>
                </c:pt>
                <c:pt idx="193">
                  <c:v>235K</c:v>
                </c:pt>
              </c:strCache>
            </c:strRef>
          </c:cat>
          <c:val>
            <c:numRef>
              <c:f>'ΜΗ ΕΚΚΟΛΑΦΘΕΝΤΑ-UNHATCHED'!$C$2:$C$197</c:f>
              <c:numCache>
                <c:formatCode>General</c:formatCode>
                <c:ptCount val="196"/>
                <c:pt idx="0">
                  <c:v>43</c:v>
                </c:pt>
                <c:pt idx="1">
                  <c:v>6</c:v>
                </c:pt>
                <c:pt idx="2">
                  <c:v>0</c:v>
                </c:pt>
                <c:pt idx="3">
                  <c:v>117</c:v>
                </c:pt>
                <c:pt idx="4">
                  <c:v>17</c:v>
                </c:pt>
                <c:pt idx="5">
                  <c:v>14</c:v>
                </c:pt>
                <c:pt idx="6">
                  <c:v>17</c:v>
                </c:pt>
                <c:pt idx="7">
                  <c:v>9</c:v>
                </c:pt>
                <c:pt idx="8">
                  <c:v>13</c:v>
                </c:pt>
                <c:pt idx="9">
                  <c:v>35</c:v>
                </c:pt>
                <c:pt idx="10">
                  <c:v>0</c:v>
                </c:pt>
                <c:pt idx="11">
                  <c:v>1</c:v>
                </c:pt>
                <c:pt idx="12">
                  <c:v>42</c:v>
                </c:pt>
                <c:pt idx="13">
                  <c:v>1</c:v>
                </c:pt>
                <c:pt idx="14">
                  <c:v>20</c:v>
                </c:pt>
                <c:pt idx="15">
                  <c:v>24</c:v>
                </c:pt>
                <c:pt idx="16">
                  <c:v>56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38</c:v>
                </c:pt>
                <c:pt idx="21">
                  <c:v>54</c:v>
                </c:pt>
                <c:pt idx="22">
                  <c:v>0</c:v>
                </c:pt>
                <c:pt idx="23">
                  <c:v>8</c:v>
                </c:pt>
                <c:pt idx="24">
                  <c:v>70</c:v>
                </c:pt>
                <c:pt idx="25">
                  <c:v>7</c:v>
                </c:pt>
                <c:pt idx="26">
                  <c:v>18</c:v>
                </c:pt>
                <c:pt idx="27">
                  <c:v>2</c:v>
                </c:pt>
                <c:pt idx="28">
                  <c:v>33</c:v>
                </c:pt>
                <c:pt idx="29">
                  <c:v>0</c:v>
                </c:pt>
                <c:pt idx="30">
                  <c:v>10</c:v>
                </c:pt>
                <c:pt idx="31">
                  <c:v>25</c:v>
                </c:pt>
                <c:pt idx="32">
                  <c:v>23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30</c:v>
                </c:pt>
                <c:pt idx="40">
                  <c:v>16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14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33</c:v>
                </c:pt>
                <c:pt idx="50">
                  <c:v>0</c:v>
                </c:pt>
                <c:pt idx="51">
                  <c:v>0</c:v>
                </c:pt>
                <c:pt idx="52">
                  <c:v>3</c:v>
                </c:pt>
                <c:pt idx="53">
                  <c:v>0</c:v>
                </c:pt>
                <c:pt idx="54">
                  <c:v>0</c:v>
                </c:pt>
                <c:pt idx="55">
                  <c:v>3</c:v>
                </c:pt>
                <c:pt idx="56">
                  <c:v>0</c:v>
                </c:pt>
                <c:pt idx="57">
                  <c:v>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10</c:v>
                </c:pt>
                <c:pt idx="62">
                  <c:v>8</c:v>
                </c:pt>
                <c:pt idx="63">
                  <c:v>0</c:v>
                </c:pt>
                <c:pt idx="64">
                  <c:v>4</c:v>
                </c:pt>
                <c:pt idx="65">
                  <c:v>0</c:v>
                </c:pt>
                <c:pt idx="66">
                  <c:v>1</c:v>
                </c:pt>
                <c:pt idx="67">
                  <c:v>3</c:v>
                </c:pt>
                <c:pt idx="68">
                  <c:v>11</c:v>
                </c:pt>
                <c:pt idx="69">
                  <c:v>4</c:v>
                </c:pt>
                <c:pt idx="70">
                  <c:v>13</c:v>
                </c:pt>
                <c:pt idx="71">
                  <c:v>17</c:v>
                </c:pt>
                <c:pt idx="72">
                  <c:v>3</c:v>
                </c:pt>
                <c:pt idx="73">
                  <c:v>0</c:v>
                </c:pt>
                <c:pt idx="74">
                  <c:v>86</c:v>
                </c:pt>
                <c:pt idx="75">
                  <c:v>0</c:v>
                </c:pt>
                <c:pt idx="76">
                  <c:v>44</c:v>
                </c:pt>
                <c:pt idx="77">
                  <c:v>5</c:v>
                </c:pt>
                <c:pt idx="78">
                  <c:v>0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8</c:v>
                </c:pt>
                <c:pt idx="83">
                  <c:v>0</c:v>
                </c:pt>
                <c:pt idx="84">
                  <c:v>0</c:v>
                </c:pt>
                <c:pt idx="85">
                  <c:v>8</c:v>
                </c:pt>
                <c:pt idx="86">
                  <c:v>0</c:v>
                </c:pt>
                <c:pt idx="87">
                  <c:v>11</c:v>
                </c:pt>
                <c:pt idx="88">
                  <c:v>6</c:v>
                </c:pt>
                <c:pt idx="89">
                  <c:v>3</c:v>
                </c:pt>
                <c:pt idx="90">
                  <c:v>10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3</c:v>
                </c:pt>
                <c:pt idx="97">
                  <c:v>40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7</c:v>
                </c:pt>
                <c:pt idx="104">
                  <c:v>0</c:v>
                </c:pt>
                <c:pt idx="105">
                  <c:v>0</c:v>
                </c:pt>
                <c:pt idx="106">
                  <c:v>3</c:v>
                </c:pt>
                <c:pt idx="107">
                  <c:v>0</c:v>
                </c:pt>
                <c:pt idx="108">
                  <c:v>1</c:v>
                </c:pt>
                <c:pt idx="109">
                  <c:v>4</c:v>
                </c:pt>
                <c:pt idx="110">
                  <c:v>8</c:v>
                </c:pt>
                <c:pt idx="111">
                  <c:v>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3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6</c:v>
                </c:pt>
                <c:pt idx="120">
                  <c:v>0</c:v>
                </c:pt>
                <c:pt idx="121">
                  <c:v>10</c:v>
                </c:pt>
                <c:pt idx="122">
                  <c:v>10</c:v>
                </c:pt>
                <c:pt idx="123">
                  <c:v>7</c:v>
                </c:pt>
                <c:pt idx="124">
                  <c:v>5</c:v>
                </c:pt>
                <c:pt idx="125">
                  <c:v>0</c:v>
                </c:pt>
                <c:pt idx="126">
                  <c:v>0</c:v>
                </c:pt>
                <c:pt idx="127">
                  <c:v>2</c:v>
                </c:pt>
                <c:pt idx="128">
                  <c:v>0</c:v>
                </c:pt>
                <c:pt idx="129">
                  <c:v>38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2</c:v>
                </c:pt>
                <c:pt idx="141">
                  <c:v>12</c:v>
                </c:pt>
                <c:pt idx="142">
                  <c:v>2</c:v>
                </c:pt>
                <c:pt idx="143">
                  <c:v>4</c:v>
                </c:pt>
                <c:pt idx="144">
                  <c:v>4</c:v>
                </c:pt>
                <c:pt idx="145">
                  <c:v>3</c:v>
                </c:pt>
                <c:pt idx="146">
                  <c:v>0</c:v>
                </c:pt>
                <c:pt idx="147">
                  <c:v>0</c:v>
                </c:pt>
                <c:pt idx="148">
                  <c:v>16</c:v>
                </c:pt>
                <c:pt idx="149">
                  <c:v>5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15</c:v>
                </c:pt>
                <c:pt idx="154">
                  <c:v>0</c:v>
                </c:pt>
                <c:pt idx="155">
                  <c:v>0</c:v>
                </c:pt>
                <c:pt idx="156">
                  <c:v>6</c:v>
                </c:pt>
                <c:pt idx="157">
                  <c:v>3</c:v>
                </c:pt>
                <c:pt idx="158">
                  <c:v>1</c:v>
                </c:pt>
                <c:pt idx="159">
                  <c:v>0</c:v>
                </c:pt>
                <c:pt idx="160">
                  <c:v>3</c:v>
                </c:pt>
                <c:pt idx="161">
                  <c:v>7</c:v>
                </c:pt>
                <c:pt idx="162">
                  <c:v>1</c:v>
                </c:pt>
                <c:pt idx="163">
                  <c:v>2</c:v>
                </c:pt>
                <c:pt idx="164">
                  <c:v>5</c:v>
                </c:pt>
                <c:pt idx="165">
                  <c:v>11</c:v>
                </c:pt>
                <c:pt idx="166">
                  <c:v>4</c:v>
                </c:pt>
                <c:pt idx="167">
                  <c:v>16</c:v>
                </c:pt>
                <c:pt idx="168">
                  <c:v>0</c:v>
                </c:pt>
                <c:pt idx="169">
                  <c:v>0</c:v>
                </c:pt>
                <c:pt idx="170">
                  <c:v>2</c:v>
                </c:pt>
                <c:pt idx="171">
                  <c:v>3</c:v>
                </c:pt>
                <c:pt idx="172">
                  <c:v>2</c:v>
                </c:pt>
                <c:pt idx="173">
                  <c:v>2</c:v>
                </c:pt>
                <c:pt idx="174">
                  <c:v>0</c:v>
                </c:pt>
                <c:pt idx="175">
                  <c:v>1</c:v>
                </c:pt>
                <c:pt idx="176">
                  <c:v>0</c:v>
                </c:pt>
                <c:pt idx="177">
                  <c:v>2</c:v>
                </c:pt>
                <c:pt idx="178">
                  <c:v>3</c:v>
                </c:pt>
                <c:pt idx="179">
                  <c:v>3</c:v>
                </c:pt>
                <c:pt idx="180">
                  <c:v>1</c:v>
                </c:pt>
                <c:pt idx="181">
                  <c:v>1</c:v>
                </c:pt>
                <c:pt idx="182">
                  <c:v>2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7D7-4A71-8014-7D6090434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790974"/>
        <c:axId val="1892492627"/>
      </c:barChart>
      <c:catAx>
        <c:axId val="12757909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Φωλιές
(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Nests)</a:t>
                </a:r>
              </a:p>
            </c:rich>
          </c:tx>
          <c:layout>
            <c:manualLayout>
              <c:xMode val="edge"/>
              <c:yMode val="edge"/>
              <c:x val="4.2934415145368492E-2"/>
              <c:y val="0.92442378268022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892492627"/>
        <c:crosses val="autoZero"/>
        <c:auto val="1"/>
        <c:lblAlgn val="ctr"/>
        <c:lblOffset val="100"/>
        <c:noMultiLvlLbl val="1"/>
      </c:catAx>
      <c:valAx>
        <c:axId val="18924926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Αριθμ. αυγών/Ν° 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of eggs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27579097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761142433260746"/>
          <c:y val="1.4619032493549811E-2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Νεκρά στη εκσκαμένη φωλιά  - ακτή Μούντας 2021
( 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Dead in nest / per nest excavated - Mounda beach 2021)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4.6903460837887045E-2"/>
          <c:y val="0.14800995024875621"/>
          <c:w val="0.8915886026541765"/>
          <c:h val="0.65776326857989098"/>
        </c:manualLayout>
      </c:layout>
      <c:barChart>
        <c:barDir val="col"/>
        <c:grouping val="clustered"/>
        <c:varyColors val="1"/>
        <c:ser>
          <c:idx val="0"/>
          <c:order val="0"/>
          <c:tx>
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</c:tx>
          <c:spPr>
            <a:solidFill>
              <a:srgbClr val="0000FF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'ΝΕΚΡΑ ΣΤΗ ΦΩΛΙΑ -DEAD IN NEST'!$A$2:$A$197</c:f>
              <c:strCache>
                <c:ptCount val="194"/>
                <c:pt idx="0">
                  <c:v>1P</c:v>
                </c:pt>
                <c:pt idx="1">
                  <c:v>2P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9K</c:v>
                </c:pt>
                <c:pt idx="9">
                  <c:v>10P</c:v>
                </c:pt>
                <c:pt idx="10">
                  <c:v>11K</c:v>
                </c:pt>
                <c:pt idx="11">
                  <c:v>12K</c:v>
                </c:pt>
                <c:pt idx="12">
                  <c:v>13P</c:v>
                </c:pt>
                <c:pt idx="13">
                  <c:v>14K</c:v>
                </c:pt>
                <c:pt idx="14">
                  <c:v>15P</c:v>
                </c:pt>
                <c:pt idx="15">
                  <c:v>16K</c:v>
                </c:pt>
                <c:pt idx="16">
                  <c:v>17K</c:v>
                </c:pt>
                <c:pt idx="17">
                  <c:v>18P</c:v>
                </c:pt>
                <c:pt idx="18">
                  <c:v>19P</c:v>
                </c:pt>
                <c:pt idx="19">
                  <c:v>20P</c:v>
                </c:pt>
                <c:pt idx="20">
                  <c:v>21K</c:v>
                </c:pt>
                <c:pt idx="21">
                  <c:v>22K</c:v>
                </c:pt>
                <c:pt idx="22">
                  <c:v>23K</c:v>
                </c:pt>
                <c:pt idx="23">
                  <c:v>24K</c:v>
                </c:pt>
                <c:pt idx="24">
                  <c:v>25P</c:v>
                </c:pt>
                <c:pt idx="25">
                  <c:v>26P</c:v>
                </c:pt>
                <c:pt idx="26">
                  <c:v>27P</c:v>
                </c:pt>
                <c:pt idx="27">
                  <c:v>28K</c:v>
                </c:pt>
                <c:pt idx="28">
                  <c:v>29K</c:v>
                </c:pt>
                <c:pt idx="29">
                  <c:v>30K</c:v>
                </c:pt>
                <c:pt idx="30">
                  <c:v>31K</c:v>
                </c:pt>
                <c:pt idx="31">
                  <c:v>32K</c:v>
                </c:pt>
                <c:pt idx="32">
                  <c:v>33P</c:v>
                </c:pt>
                <c:pt idx="33">
                  <c:v>34K</c:v>
                </c:pt>
                <c:pt idx="34">
                  <c:v>35K</c:v>
                </c:pt>
                <c:pt idx="35">
                  <c:v>36K</c:v>
                </c:pt>
                <c:pt idx="36">
                  <c:v>37K</c:v>
                </c:pt>
                <c:pt idx="37">
                  <c:v>38P</c:v>
                </c:pt>
                <c:pt idx="38">
                  <c:v>39K</c:v>
                </c:pt>
                <c:pt idx="39">
                  <c:v>40P</c:v>
                </c:pt>
                <c:pt idx="40">
                  <c:v>41P</c:v>
                </c:pt>
                <c:pt idx="41">
                  <c:v>42K</c:v>
                </c:pt>
                <c:pt idx="42">
                  <c:v>43K</c:v>
                </c:pt>
                <c:pt idx="43">
                  <c:v>44K</c:v>
                </c:pt>
                <c:pt idx="44">
                  <c:v>45K</c:v>
                </c:pt>
                <c:pt idx="45">
                  <c:v>46K</c:v>
                </c:pt>
                <c:pt idx="46">
                  <c:v>47K</c:v>
                </c:pt>
                <c:pt idx="47">
                  <c:v>48K</c:v>
                </c:pt>
                <c:pt idx="48">
                  <c:v>49K</c:v>
                </c:pt>
                <c:pt idx="49">
                  <c:v>50K</c:v>
                </c:pt>
                <c:pt idx="50">
                  <c:v>51P</c:v>
                </c:pt>
                <c:pt idx="51">
                  <c:v>52K</c:v>
                </c:pt>
                <c:pt idx="52">
                  <c:v>53K</c:v>
                </c:pt>
                <c:pt idx="53">
                  <c:v>54K</c:v>
                </c:pt>
                <c:pt idx="54">
                  <c:v>55K</c:v>
                </c:pt>
                <c:pt idx="55">
                  <c:v>56K</c:v>
                </c:pt>
                <c:pt idx="56">
                  <c:v>57K</c:v>
                </c:pt>
                <c:pt idx="57">
                  <c:v>58K</c:v>
                </c:pt>
                <c:pt idx="58">
                  <c:v>59K</c:v>
                </c:pt>
                <c:pt idx="59">
                  <c:v>60P</c:v>
                </c:pt>
                <c:pt idx="60">
                  <c:v>61K</c:v>
                </c:pt>
                <c:pt idx="61">
                  <c:v>62K</c:v>
                </c:pt>
                <c:pt idx="62">
                  <c:v>63K</c:v>
                </c:pt>
                <c:pt idx="63">
                  <c:v>64P</c:v>
                </c:pt>
                <c:pt idx="64">
                  <c:v>65K</c:v>
                </c:pt>
                <c:pt idx="65">
                  <c:v>66P</c:v>
                </c:pt>
                <c:pt idx="66">
                  <c:v>67K</c:v>
                </c:pt>
                <c:pt idx="67">
                  <c:v>68K</c:v>
                </c:pt>
                <c:pt idx="68">
                  <c:v>69K</c:v>
                </c:pt>
                <c:pt idx="69">
                  <c:v>70P</c:v>
                </c:pt>
                <c:pt idx="70">
                  <c:v>71P</c:v>
                </c:pt>
                <c:pt idx="71">
                  <c:v>72K</c:v>
                </c:pt>
                <c:pt idx="72">
                  <c:v>73K</c:v>
                </c:pt>
                <c:pt idx="73">
                  <c:v>74K</c:v>
                </c:pt>
                <c:pt idx="74">
                  <c:v>75K</c:v>
                </c:pt>
                <c:pt idx="75">
                  <c:v>77P</c:v>
                </c:pt>
                <c:pt idx="76">
                  <c:v>78K</c:v>
                </c:pt>
                <c:pt idx="77">
                  <c:v>79P</c:v>
                </c:pt>
                <c:pt idx="78">
                  <c:v>80P</c:v>
                </c:pt>
                <c:pt idx="79">
                  <c:v>82K</c:v>
                </c:pt>
                <c:pt idx="80">
                  <c:v>85P</c:v>
                </c:pt>
                <c:pt idx="81">
                  <c:v>86K</c:v>
                </c:pt>
                <c:pt idx="82">
                  <c:v>87P</c:v>
                </c:pt>
                <c:pt idx="83">
                  <c:v>88K</c:v>
                </c:pt>
                <c:pt idx="84">
                  <c:v>89P</c:v>
                </c:pt>
                <c:pt idx="85">
                  <c:v>91K</c:v>
                </c:pt>
                <c:pt idx="86">
                  <c:v>92P</c:v>
                </c:pt>
                <c:pt idx="87">
                  <c:v>96P</c:v>
                </c:pt>
                <c:pt idx="88">
                  <c:v>97P</c:v>
                </c:pt>
                <c:pt idx="89">
                  <c:v>98P</c:v>
                </c:pt>
                <c:pt idx="90">
                  <c:v>100P</c:v>
                </c:pt>
                <c:pt idx="91">
                  <c:v>101P</c:v>
                </c:pt>
                <c:pt idx="92">
                  <c:v>102P</c:v>
                </c:pt>
                <c:pt idx="93">
                  <c:v>103K</c:v>
                </c:pt>
                <c:pt idx="94">
                  <c:v>104K</c:v>
                </c:pt>
                <c:pt idx="95">
                  <c:v>105P</c:v>
                </c:pt>
                <c:pt idx="96">
                  <c:v>106K</c:v>
                </c:pt>
                <c:pt idx="97">
                  <c:v>108K</c:v>
                </c:pt>
                <c:pt idx="98">
                  <c:v>109K</c:v>
                </c:pt>
                <c:pt idx="99">
                  <c:v>111K</c:v>
                </c:pt>
                <c:pt idx="100">
                  <c:v>113K</c:v>
                </c:pt>
                <c:pt idx="101">
                  <c:v>114P</c:v>
                </c:pt>
                <c:pt idx="102">
                  <c:v>115K</c:v>
                </c:pt>
                <c:pt idx="103">
                  <c:v>120P</c:v>
                </c:pt>
                <c:pt idx="104">
                  <c:v>121P</c:v>
                </c:pt>
                <c:pt idx="105">
                  <c:v>122K</c:v>
                </c:pt>
                <c:pt idx="106">
                  <c:v>123K</c:v>
                </c:pt>
                <c:pt idx="107">
                  <c:v>124P</c:v>
                </c:pt>
                <c:pt idx="108">
                  <c:v>125P</c:v>
                </c:pt>
                <c:pt idx="109">
                  <c:v>126K</c:v>
                </c:pt>
                <c:pt idx="110">
                  <c:v>127K</c:v>
                </c:pt>
                <c:pt idx="111">
                  <c:v>128K</c:v>
                </c:pt>
                <c:pt idx="112">
                  <c:v>129K</c:v>
                </c:pt>
                <c:pt idx="113">
                  <c:v>130P</c:v>
                </c:pt>
                <c:pt idx="114">
                  <c:v>131P</c:v>
                </c:pt>
                <c:pt idx="115">
                  <c:v>133K</c:v>
                </c:pt>
                <c:pt idx="116">
                  <c:v>135K</c:v>
                </c:pt>
                <c:pt idx="117">
                  <c:v>136K</c:v>
                </c:pt>
                <c:pt idx="118">
                  <c:v>137K</c:v>
                </c:pt>
                <c:pt idx="119">
                  <c:v>140K</c:v>
                </c:pt>
                <c:pt idx="120">
                  <c:v>141K</c:v>
                </c:pt>
                <c:pt idx="121">
                  <c:v>142P</c:v>
                </c:pt>
                <c:pt idx="122">
                  <c:v>143P</c:v>
                </c:pt>
                <c:pt idx="123">
                  <c:v>144P</c:v>
                </c:pt>
                <c:pt idx="124">
                  <c:v>145K</c:v>
                </c:pt>
                <c:pt idx="125">
                  <c:v>146K</c:v>
                </c:pt>
                <c:pt idx="126">
                  <c:v>147K</c:v>
                </c:pt>
                <c:pt idx="127">
                  <c:v>149P</c:v>
                </c:pt>
                <c:pt idx="128">
                  <c:v>150K</c:v>
                </c:pt>
                <c:pt idx="129">
                  <c:v>151P</c:v>
                </c:pt>
                <c:pt idx="130">
                  <c:v>152P</c:v>
                </c:pt>
                <c:pt idx="131">
                  <c:v>153K</c:v>
                </c:pt>
                <c:pt idx="132">
                  <c:v>154K</c:v>
                </c:pt>
                <c:pt idx="133">
                  <c:v>155P</c:v>
                </c:pt>
                <c:pt idx="134">
                  <c:v>156K</c:v>
                </c:pt>
                <c:pt idx="135">
                  <c:v>157P</c:v>
                </c:pt>
                <c:pt idx="136">
                  <c:v>158K</c:v>
                </c:pt>
                <c:pt idx="137">
                  <c:v>159P</c:v>
                </c:pt>
                <c:pt idx="138">
                  <c:v>162P</c:v>
                </c:pt>
                <c:pt idx="139">
                  <c:v>164K</c:v>
                </c:pt>
                <c:pt idx="140">
                  <c:v>165K</c:v>
                </c:pt>
                <c:pt idx="141">
                  <c:v>167K</c:v>
                </c:pt>
                <c:pt idx="142">
                  <c:v>169P</c:v>
                </c:pt>
                <c:pt idx="143">
                  <c:v>170K</c:v>
                </c:pt>
                <c:pt idx="144">
                  <c:v>173P</c:v>
                </c:pt>
                <c:pt idx="145">
                  <c:v>174P</c:v>
                </c:pt>
                <c:pt idx="146">
                  <c:v>175K</c:v>
                </c:pt>
                <c:pt idx="147">
                  <c:v>176K</c:v>
                </c:pt>
                <c:pt idx="148">
                  <c:v>177P</c:v>
                </c:pt>
                <c:pt idx="149">
                  <c:v>178K</c:v>
                </c:pt>
                <c:pt idx="150">
                  <c:v>179P</c:v>
                </c:pt>
                <c:pt idx="151">
                  <c:v>180P</c:v>
                </c:pt>
                <c:pt idx="152">
                  <c:v>182K</c:v>
                </c:pt>
                <c:pt idx="153">
                  <c:v>183K</c:v>
                </c:pt>
                <c:pt idx="154">
                  <c:v>184P</c:v>
                </c:pt>
                <c:pt idx="155">
                  <c:v>185P</c:v>
                </c:pt>
                <c:pt idx="156">
                  <c:v>187K</c:v>
                </c:pt>
                <c:pt idx="157">
                  <c:v>188K</c:v>
                </c:pt>
                <c:pt idx="158">
                  <c:v>189P</c:v>
                </c:pt>
                <c:pt idx="159">
                  <c:v>190K</c:v>
                </c:pt>
                <c:pt idx="160">
                  <c:v>191K</c:v>
                </c:pt>
                <c:pt idx="161">
                  <c:v>192K</c:v>
                </c:pt>
                <c:pt idx="162">
                  <c:v>194P</c:v>
                </c:pt>
                <c:pt idx="163">
                  <c:v>195K</c:v>
                </c:pt>
                <c:pt idx="164">
                  <c:v>196K</c:v>
                </c:pt>
                <c:pt idx="165">
                  <c:v>197P</c:v>
                </c:pt>
                <c:pt idx="166">
                  <c:v>198K</c:v>
                </c:pt>
                <c:pt idx="167">
                  <c:v>199K</c:v>
                </c:pt>
                <c:pt idx="168">
                  <c:v>200P</c:v>
                </c:pt>
                <c:pt idx="169">
                  <c:v>201K</c:v>
                </c:pt>
                <c:pt idx="170">
                  <c:v>203K</c:v>
                </c:pt>
                <c:pt idx="171">
                  <c:v>206K</c:v>
                </c:pt>
                <c:pt idx="172">
                  <c:v>207K</c:v>
                </c:pt>
                <c:pt idx="173">
                  <c:v>208K</c:v>
                </c:pt>
                <c:pt idx="174">
                  <c:v>209P</c:v>
                </c:pt>
                <c:pt idx="175">
                  <c:v>210K</c:v>
                </c:pt>
                <c:pt idx="176">
                  <c:v>211K</c:v>
                </c:pt>
                <c:pt idx="177">
                  <c:v>212P</c:v>
                </c:pt>
                <c:pt idx="178">
                  <c:v>213P</c:v>
                </c:pt>
                <c:pt idx="179">
                  <c:v>214K</c:v>
                </c:pt>
                <c:pt idx="180">
                  <c:v>215K</c:v>
                </c:pt>
                <c:pt idx="181">
                  <c:v>218K</c:v>
                </c:pt>
                <c:pt idx="182">
                  <c:v>219K</c:v>
                </c:pt>
                <c:pt idx="183">
                  <c:v>220K</c:v>
                </c:pt>
                <c:pt idx="184">
                  <c:v>223K</c:v>
                </c:pt>
                <c:pt idx="185">
                  <c:v>227K</c:v>
                </c:pt>
                <c:pt idx="186">
                  <c:v>228P</c:v>
                </c:pt>
                <c:pt idx="187">
                  <c:v>229K</c:v>
                </c:pt>
                <c:pt idx="188">
                  <c:v>230K</c:v>
                </c:pt>
                <c:pt idx="189">
                  <c:v>231K</c:v>
                </c:pt>
                <c:pt idx="190">
                  <c:v>232K</c:v>
                </c:pt>
                <c:pt idx="191">
                  <c:v>233K</c:v>
                </c:pt>
                <c:pt idx="192">
                  <c:v>234K</c:v>
                </c:pt>
                <c:pt idx="193">
                  <c:v>235K</c:v>
                </c:pt>
              </c:strCache>
            </c:strRef>
          </c:cat>
          <c:val>
            <c:numRef>
              <c:f>'ΝΕΚΡΑ ΣΤΗ ΦΩΛΙΑ -DEAD IN NEST'!$B$2:$B$197</c:f>
              <c:numCache>
                <c:formatCode>General</c:formatCode>
                <c:ptCount val="196"/>
                <c:pt idx="0">
                  <c:v>113</c:v>
                </c:pt>
                <c:pt idx="1">
                  <c:v>99</c:v>
                </c:pt>
                <c:pt idx="2">
                  <c:v>0</c:v>
                </c:pt>
                <c:pt idx="3">
                  <c:v>117</c:v>
                </c:pt>
                <c:pt idx="4">
                  <c:v>95</c:v>
                </c:pt>
                <c:pt idx="5">
                  <c:v>40</c:v>
                </c:pt>
                <c:pt idx="6">
                  <c:v>140</c:v>
                </c:pt>
                <c:pt idx="7">
                  <c:v>58</c:v>
                </c:pt>
                <c:pt idx="8">
                  <c:v>65</c:v>
                </c:pt>
                <c:pt idx="9">
                  <c:v>133</c:v>
                </c:pt>
                <c:pt idx="10">
                  <c:v>0</c:v>
                </c:pt>
                <c:pt idx="11">
                  <c:v>111</c:v>
                </c:pt>
                <c:pt idx="12">
                  <c:v>113</c:v>
                </c:pt>
                <c:pt idx="13">
                  <c:v>118</c:v>
                </c:pt>
                <c:pt idx="14">
                  <c:v>65</c:v>
                </c:pt>
                <c:pt idx="15">
                  <c:v>122</c:v>
                </c:pt>
                <c:pt idx="16">
                  <c:v>104</c:v>
                </c:pt>
                <c:pt idx="17">
                  <c:v>149</c:v>
                </c:pt>
                <c:pt idx="18">
                  <c:v>149</c:v>
                </c:pt>
                <c:pt idx="19">
                  <c:v>114</c:v>
                </c:pt>
                <c:pt idx="20">
                  <c:v>137</c:v>
                </c:pt>
                <c:pt idx="21">
                  <c:v>111</c:v>
                </c:pt>
                <c:pt idx="22">
                  <c:v>0</c:v>
                </c:pt>
                <c:pt idx="23">
                  <c:v>129</c:v>
                </c:pt>
                <c:pt idx="24">
                  <c:v>160</c:v>
                </c:pt>
                <c:pt idx="25">
                  <c:v>126</c:v>
                </c:pt>
                <c:pt idx="26">
                  <c:v>107</c:v>
                </c:pt>
                <c:pt idx="27">
                  <c:v>81</c:v>
                </c:pt>
                <c:pt idx="28">
                  <c:v>65</c:v>
                </c:pt>
                <c:pt idx="29">
                  <c:v>0</c:v>
                </c:pt>
                <c:pt idx="30">
                  <c:v>112</c:v>
                </c:pt>
                <c:pt idx="31">
                  <c:v>117</c:v>
                </c:pt>
                <c:pt idx="32">
                  <c:v>104</c:v>
                </c:pt>
                <c:pt idx="33">
                  <c:v>63</c:v>
                </c:pt>
                <c:pt idx="34">
                  <c:v>0</c:v>
                </c:pt>
                <c:pt idx="35">
                  <c:v>0</c:v>
                </c:pt>
                <c:pt idx="36">
                  <c:v>106</c:v>
                </c:pt>
                <c:pt idx="37">
                  <c:v>0</c:v>
                </c:pt>
                <c:pt idx="38">
                  <c:v>0</c:v>
                </c:pt>
                <c:pt idx="39">
                  <c:v>102</c:v>
                </c:pt>
                <c:pt idx="40">
                  <c:v>86</c:v>
                </c:pt>
                <c:pt idx="41">
                  <c:v>0</c:v>
                </c:pt>
                <c:pt idx="42">
                  <c:v>0</c:v>
                </c:pt>
                <c:pt idx="43">
                  <c:v>68</c:v>
                </c:pt>
                <c:pt idx="44">
                  <c:v>121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84</c:v>
                </c:pt>
                <c:pt idx="49">
                  <c:v>65</c:v>
                </c:pt>
                <c:pt idx="50">
                  <c:v>0</c:v>
                </c:pt>
                <c:pt idx="51">
                  <c:v>0</c:v>
                </c:pt>
                <c:pt idx="52">
                  <c:v>81</c:v>
                </c:pt>
                <c:pt idx="53">
                  <c:v>130</c:v>
                </c:pt>
                <c:pt idx="54">
                  <c:v>0</c:v>
                </c:pt>
                <c:pt idx="55">
                  <c:v>70</c:v>
                </c:pt>
                <c:pt idx="56">
                  <c:v>0</c:v>
                </c:pt>
                <c:pt idx="57">
                  <c:v>122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76</c:v>
                </c:pt>
                <c:pt idx="62">
                  <c:v>105</c:v>
                </c:pt>
                <c:pt idx="63">
                  <c:v>81</c:v>
                </c:pt>
                <c:pt idx="64">
                  <c:v>75</c:v>
                </c:pt>
                <c:pt idx="65">
                  <c:v>105</c:v>
                </c:pt>
                <c:pt idx="66">
                  <c:v>83</c:v>
                </c:pt>
                <c:pt idx="67">
                  <c:v>97</c:v>
                </c:pt>
                <c:pt idx="68">
                  <c:v>79</c:v>
                </c:pt>
                <c:pt idx="69">
                  <c:v>108</c:v>
                </c:pt>
                <c:pt idx="70">
                  <c:v>106</c:v>
                </c:pt>
                <c:pt idx="71">
                  <c:v>135</c:v>
                </c:pt>
                <c:pt idx="72">
                  <c:v>86</c:v>
                </c:pt>
                <c:pt idx="73">
                  <c:v>0</c:v>
                </c:pt>
                <c:pt idx="74">
                  <c:v>137</c:v>
                </c:pt>
                <c:pt idx="75">
                  <c:v>0</c:v>
                </c:pt>
                <c:pt idx="76">
                  <c:v>106</c:v>
                </c:pt>
                <c:pt idx="77">
                  <c:v>93</c:v>
                </c:pt>
                <c:pt idx="78">
                  <c:v>0</c:v>
                </c:pt>
                <c:pt idx="79">
                  <c:v>0</c:v>
                </c:pt>
                <c:pt idx="80">
                  <c:v>95</c:v>
                </c:pt>
                <c:pt idx="81">
                  <c:v>72</c:v>
                </c:pt>
                <c:pt idx="82">
                  <c:v>88</c:v>
                </c:pt>
                <c:pt idx="83">
                  <c:v>0</c:v>
                </c:pt>
                <c:pt idx="84">
                  <c:v>0</c:v>
                </c:pt>
                <c:pt idx="85">
                  <c:v>100</c:v>
                </c:pt>
                <c:pt idx="86">
                  <c:v>0</c:v>
                </c:pt>
                <c:pt idx="87">
                  <c:v>85</c:v>
                </c:pt>
                <c:pt idx="88">
                  <c:v>77</c:v>
                </c:pt>
                <c:pt idx="89">
                  <c:v>107</c:v>
                </c:pt>
                <c:pt idx="90">
                  <c:v>99</c:v>
                </c:pt>
                <c:pt idx="91">
                  <c:v>0</c:v>
                </c:pt>
                <c:pt idx="92">
                  <c:v>0</c:v>
                </c:pt>
                <c:pt idx="93">
                  <c:v>52</c:v>
                </c:pt>
                <c:pt idx="94">
                  <c:v>0</c:v>
                </c:pt>
                <c:pt idx="95">
                  <c:v>0</c:v>
                </c:pt>
                <c:pt idx="96">
                  <c:v>112</c:v>
                </c:pt>
                <c:pt idx="97">
                  <c:v>108</c:v>
                </c:pt>
                <c:pt idx="98">
                  <c:v>0</c:v>
                </c:pt>
                <c:pt idx="99">
                  <c:v>45</c:v>
                </c:pt>
                <c:pt idx="100">
                  <c:v>0</c:v>
                </c:pt>
                <c:pt idx="101">
                  <c:v>68</c:v>
                </c:pt>
                <c:pt idx="102">
                  <c:v>0</c:v>
                </c:pt>
                <c:pt idx="103">
                  <c:v>92</c:v>
                </c:pt>
                <c:pt idx="104">
                  <c:v>0</c:v>
                </c:pt>
                <c:pt idx="105">
                  <c:v>0</c:v>
                </c:pt>
                <c:pt idx="106">
                  <c:v>82</c:v>
                </c:pt>
                <c:pt idx="107">
                  <c:v>0</c:v>
                </c:pt>
                <c:pt idx="108">
                  <c:v>84</c:v>
                </c:pt>
                <c:pt idx="109">
                  <c:v>98</c:v>
                </c:pt>
                <c:pt idx="110">
                  <c:v>118</c:v>
                </c:pt>
                <c:pt idx="111">
                  <c:v>81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75</c:v>
                </c:pt>
                <c:pt idx="116">
                  <c:v>0</c:v>
                </c:pt>
                <c:pt idx="117">
                  <c:v>84</c:v>
                </c:pt>
                <c:pt idx="118">
                  <c:v>0</c:v>
                </c:pt>
                <c:pt idx="119">
                  <c:v>69</c:v>
                </c:pt>
                <c:pt idx="120">
                  <c:v>0</c:v>
                </c:pt>
                <c:pt idx="121">
                  <c:v>15</c:v>
                </c:pt>
                <c:pt idx="122">
                  <c:v>82</c:v>
                </c:pt>
                <c:pt idx="123">
                  <c:v>102</c:v>
                </c:pt>
                <c:pt idx="124">
                  <c:v>100</c:v>
                </c:pt>
                <c:pt idx="125">
                  <c:v>18</c:v>
                </c:pt>
                <c:pt idx="126">
                  <c:v>0</c:v>
                </c:pt>
                <c:pt idx="127">
                  <c:v>92</c:v>
                </c:pt>
                <c:pt idx="128">
                  <c:v>0</c:v>
                </c:pt>
                <c:pt idx="129">
                  <c:v>92</c:v>
                </c:pt>
                <c:pt idx="130">
                  <c:v>67</c:v>
                </c:pt>
                <c:pt idx="131">
                  <c:v>0</c:v>
                </c:pt>
                <c:pt idx="132">
                  <c:v>92</c:v>
                </c:pt>
                <c:pt idx="133">
                  <c:v>91</c:v>
                </c:pt>
                <c:pt idx="134">
                  <c:v>53</c:v>
                </c:pt>
                <c:pt idx="135">
                  <c:v>79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98</c:v>
                </c:pt>
                <c:pt idx="141">
                  <c:v>97</c:v>
                </c:pt>
                <c:pt idx="142">
                  <c:v>79</c:v>
                </c:pt>
                <c:pt idx="143">
                  <c:v>72</c:v>
                </c:pt>
                <c:pt idx="144">
                  <c:v>77</c:v>
                </c:pt>
                <c:pt idx="145">
                  <c:v>84</c:v>
                </c:pt>
                <c:pt idx="146">
                  <c:v>0</c:v>
                </c:pt>
                <c:pt idx="147">
                  <c:v>0</c:v>
                </c:pt>
                <c:pt idx="148">
                  <c:v>90</c:v>
                </c:pt>
                <c:pt idx="149">
                  <c:v>92</c:v>
                </c:pt>
                <c:pt idx="150">
                  <c:v>0</c:v>
                </c:pt>
                <c:pt idx="151">
                  <c:v>0</c:v>
                </c:pt>
                <c:pt idx="152">
                  <c:v>50</c:v>
                </c:pt>
                <c:pt idx="153">
                  <c:v>62</c:v>
                </c:pt>
                <c:pt idx="154">
                  <c:v>75</c:v>
                </c:pt>
                <c:pt idx="155">
                  <c:v>0</c:v>
                </c:pt>
                <c:pt idx="156">
                  <c:v>115</c:v>
                </c:pt>
                <c:pt idx="157">
                  <c:v>52</c:v>
                </c:pt>
                <c:pt idx="158">
                  <c:v>102</c:v>
                </c:pt>
                <c:pt idx="159">
                  <c:v>0</c:v>
                </c:pt>
                <c:pt idx="160">
                  <c:v>70</c:v>
                </c:pt>
                <c:pt idx="161">
                  <c:v>95</c:v>
                </c:pt>
                <c:pt idx="162">
                  <c:v>111</c:v>
                </c:pt>
                <c:pt idx="163">
                  <c:v>63</c:v>
                </c:pt>
                <c:pt idx="164">
                  <c:v>103</c:v>
                </c:pt>
                <c:pt idx="165">
                  <c:v>67</c:v>
                </c:pt>
                <c:pt idx="166">
                  <c:v>54</c:v>
                </c:pt>
                <c:pt idx="167">
                  <c:v>61</c:v>
                </c:pt>
                <c:pt idx="168">
                  <c:v>0</c:v>
                </c:pt>
                <c:pt idx="169">
                  <c:v>0</c:v>
                </c:pt>
                <c:pt idx="170">
                  <c:v>98</c:v>
                </c:pt>
                <c:pt idx="171">
                  <c:v>77</c:v>
                </c:pt>
                <c:pt idx="172">
                  <c:v>77</c:v>
                </c:pt>
                <c:pt idx="173">
                  <c:v>74</c:v>
                </c:pt>
                <c:pt idx="174">
                  <c:v>0</c:v>
                </c:pt>
                <c:pt idx="175">
                  <c:v>66</c:v>
                </c:pt>
                <c:pt idx="176">
                  <c:v>59</c:v>
                </c:pt>
                <c:pt idx="177">
                  <c:v>98</c:v>
                </c:pt>
                <c:pt idx="178">
                  <c:v>73</c:v>
                </c:pt>
                <c:pt idx="179">
                  <c:v>101</c:v>
                </c:pt>
                <c:pt idx="180">
                  <c:v>100</c:v>
                </c:pt>
                <c:pt idx="181">
                  <c:v>93</c:v>
                </c:pt>
                <c:pt idx="182">
                  <c:v>62</c:v>
                </c:pt>
                <c:pt idx="183">
                  <c:v>80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79A-48EF-8EA6-56722DC6668C}"/>
            </c:ext>
          </c:extLst>
        </c:ser>
        <c:ser>
          <c:idx val="1"/>
          <c:order val="1"/>
          <c:tx>
            <c:v>Νεκρά στην φωλιά (Dead in the nest)</c:v>
          </c:tx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'ΝΕΚΡΑ ΣΤΗ ΦΩΛΙΑ -DEAD IN NEST'!$A$2:$A$197</c:f>
              <c:strCache>
                <c:ptCount val="194"/>
                <c:pt idx="0">
                  <c:v>1P</c:v>
                </c:pt>
                <c:pt idx="1">
                  <c:v>2P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9K</c:v>
                </c:pt>
                <c:pt idx="9">
                  <c:v>10P</c:v>
                </c:pt>
                <c:pt idx="10">
                  <c:v>11K</c:v>
                </c:pt>
                <c:pt idx="11">
                  <c:v>12K</c:v>
                </c:pt>
                <c:pt idx="12">
                  <c:v>13P</c:v>
                </c:pt>
                <c:pt idx="13">
                  <c:v>14K</c:v>
                </c:pt>
                <c:pt idx="14">
                  <c:v>15P</c:v>
                </c:pt>
                <c:pt idx="15">
                  <c:v>16K</c:v>
                </c:pt>
                <c:pt idx="16">
                  <c:v>17K</c:v>
                </c:pt>
                <c:pt idx="17">
                  <c:v>18P</c:v>
                </c:pt>
                <c:pt idx="18">
                  <c:v>19P</c:v>
                </c:pt>
                <c:pt idx="19">
                  <c:v>20P</c:v>
                </c:pt>
                <c:pt idx="20">
                  <c:v>21K</c:v>
                </c:pt>
                <c:pt idx="21">
                  <c:v>22K</c:v>
                </c:pt>
                <c:pt idx="22">
                  <c:v>23K</c:v>
                </c:pt>
                <c:pt idx="23">
                  <c:v>24K</c:v>
                </c:pt>
                <c:pt idx="24">
                  <c:v>25P</c:v>
                </c:pt>
                <c:pt idx="25">
                  <c:v>26P</c:v>
                </c:pt>
                <c:pt idx="26">
                  <c:v>27P</c:v>
                </c:pt>
                <c:pt idx="27">
                  <c:v>28K</c:v>
                </c:pt>
                <c:pt idx="28">
                  <c:v>29K</c:v>
                </c:pt>
                <c:pt idx="29">
                  <c:v>30K</c:v>
                </c:pt>
                <c:pt idx="30">
                  <c:v>31K</c:v>
                </c:pt>
                <c:pt idx="31">
                  <c:v>32K</c:v>
                </c:pt>
                <c:pt idx="32">
                  <c:v>33P</c:v>
                </c:pt>
                <c:pt idx="33">
                  <c:v>34K</c:v>
                </c:pt>
                <c:pt idx="34">
                  <c:v>35K</c:v>
                </c:pt>
                <c:pt idx="35">
                  <c:v>36K</c:v>
                </c:pt>
                <c:pt idx="36">
                  <c:v>37K</c:v>
                </c:pt>
                <c:pt idx="37">
                  <c:v>38P</c:v>
                </c:pt>
                <c:pt idx="38">
                  <c:v>39K</c:v>
                </c:pt>
                <c:pt idx="39">
                  <c:v>40P</c:v>
                </c:pt>
                <c:pt idx="40">
                  <c:v>41P</c:v>
                </c:pt>
                <c:pt idx="41">
                  <c:v>42K</c:v>
                </c:pt>
                <c:pt idx="42">
                  <c:v>43K</c:v>
                </c:pt>
                <c:pt idx="43">
                  <c:v>44K</c:v>
                </c:pt>
                <c:pt idx="44">
                  <c:v>45K</c:v>
                </c:pt>
                <c:pt idx="45">
                  <c:v>46K</c:v>
                </c:pt>
                <c:pt idx="46">
                  <c:v>47K</c:v>
                </c:pt>
                <c:pt idx="47">
                  <c:v>48K</c:v>
                </c:pt>
                <c:pt idx="48">
                  <c:v>49K</c:v>
                </c:pt>
                <c:pt idx="49">
                  <c:v>50K</c:v>
                </c:pt>
                <c:pt idx="50">
                  <c:v>51P</c:v>
                </c:pt>
                <c:pt idx="51">
                  <c:v>52K</c:v>
                </c:pt>
                <c:pt idx="52">
                  <c:v>53K</c:v>
                </c:pt>
                <c:pt idx="53">
                  <c:v>54K</c:v>
                </c:pt>
                <c:pt idx="54">
                  <c:v>55K</c:v>
                </c:pt>
                <c:pt idx="55">
                  <c:v>56K</c:v>
                </c:pt>
                <c:pt idx="56">
                  <c:v>57K</c:v>
                </c:pt>
                <c:pt idx="57">
                  <c:v>58K</c:v>
                </c:pt>
                <c:pt idx="58">
                  <c:v>59K</c:v>
                </c:pt>
                <c:pt idx="59">
                  <c:v>60P</c:v>
                </c:pt>
                <c:pt idx="60">
                  <c:v>61K</c:v>
                </c:pt>
                <c:pt idx="61">
                  <c:v>62K</c:v>
                </c:pt>
                <c:pt idx="62">
                  <c:v>63K</c:v>
                </c:pt>
                <c:pt idx="63">
                  <c:v>64P</c:v>
                </c:pt>
                <c:pt idx="64">
                  <c:v>65K</c:v>
                </c:pt>
                <c:pt idx="65">
                  <c:v>66P</c:v>
                </c:pt>
                <c:pt idx="66">
                  <c:v>67K</c:v>
                </c:pt>
                <c:pt idx="67">
                  <c:v>68K</c:v>
                </c:pt>
                <c:pt idx="68">
                  <c:v>69K</c:v>
                </c:pt>
                <c:pt idx="69">
                  <c:v>70P</c:v>
                </c:pt>
                <c:pt idx="70">
                  <c:v>71P</c:v>
                </c:pt>
                <c:pt idx="71">
                  <c:v>72K</c:v>
                </c:pt>
                <c:pt idx="72">
                  <c:v>73K</c:v>
                </c:pt>
                <c:pt idx="73">
                  <c:v>74K</c:v>
                </c:pt>
                <c:pt idx="74">
                  <c:v>75K</c:v>
                </c:pt>
                <c:pt idx="75">
                  <c:v>77P</c:v>
                </c:pt>
                <c:pt idx="76">
                  <c:v>78K</c:v>
                </c:pt>
                <c:pt idx="77">
                  <c:v>79P</c:v>
                </c:pt>
                <c:pt idx="78">
                  <c:v>80P</c:v>
                </c:pt>
                <c:pt idx="79">
                  <c:v>82K</c:v>
                </c:pt>
                <c:pt idx="80">
                  <c:v>85P</c:v>
                </c:pt>
                <c:pt idx="81">
                  <c:v>86K</c:v>
                </c:pt>
                <c:pt idx="82">
                  <c:v>87P</c:v>
                </c:pt>
                <c:pt idx="83">
                  <c:v>88K</c:v>
                </c:pt>
                <c:pt idx="84">
                  <c:v>89P</c:v>
                </c:pt>
                <c:pt idx="85">
                  <c:v>91K</c:v>
                </c:pt>
                <c:pt idx="86">
                  <c:v>92P</c:v>
                </c:pt>
                <c:pt idx="87">
                  <c:v>96P</c:v>
                </c:pt>
                <c:pt idx="88">
                  <c:v>97P</c:v>
                </c:pt>
                <c:pt idx="89">
                  <c:v>98P</c:v>
                </c:pt>
                <c:pt idx="90">
                  <c:v>100P</c:v>
                </c:pt>
                <c:pt idx="91">
                  <c:v>101P</c:v>
                </c:pt>
                <c:pt idx="92">
                  <c:v>102P</c:v>
                </c:pt>
                <c:pt idx="93">
                  <c:v>103K</c:v>
                </c:pt>
                <c:pt idx="94">
                  <c:v>104K</c:v>
                </c:pt>
                <c:pt idx="95">
                  <c:v>105P</c:v>
                </c:pt>
                <c:pt idx="96">
                  <c:v>106K</c:v>
                </c:pt>
                <c:pt idx="97">
                  <c:v>108K</c:v>
                </c:pt>
                <c:pt idx="98">
                  <c:v>109K</c:v>
                </c:pt>
                <c:pt idx="99">
                  <c:v>111K</c:v>
                </c:pt>
                <c:pt idx="100">
                  <c:v>113K</c:v>
                </c:pt>
                <c:pt idx="101">
                  <c:v>114P</c:v>
                </c:pt>
                <c:pt idx="102">
                  <c:v>115K</c:v>
                </c:pt>
                <c:pt idx="103">
                  <c:v>120P</c:v>
                </c:pt>
                <c:pt idx="104">
                  <c:v>121P</c:v>
                </c:pt>
                <c:pt idx="105">
                  <c:v>122K</c:v>
                </c:pt>
                <c:pt idx="106">
                  <c:v>123K</c:v>
                </c:pt>
                <c:pt idx="107">
                  <c:v>124P</c:v>
                </c:pt>
                <c:pt idx="108">
                  <c:v>125P</c:v>
                </c:pt>
                <c:pt idx="109">
                  <c:v>126K</c:v>
                </c:pt>
                <c:pt idx="110">
                  <c:v>127K</c:v>
                </c:pt>
                <c:pt idx="111">
                  <c:v>128K</c:v>
                </c:pt>
                <c:pt idx="112">
                  <c:v>129K</c:v>
                </c:pt>
                <c:pt idx="113">
                  <c:v>130P</c:v>
                </c:pt>
                <c:pt idx="114">
                  <c:v>131P</c:v>
                </c:pt>
                <c:pt idx="115">
                  <c:v>133K</c:v>
                </c:pt>
                <c:pt idx="116">
                  <c:v>135K</c:v>
                </c:pt>
                <c:pt idx="117">
                  <c:v>136K</c:v>
                </c:pt>
                <c:pt idx="118">
                  <c:v>137K</c:v>
                </c:pt>
                <c:pt idx="119">
                  <c:v>140K</c:v>
                </c:pt>
                <c:pt idx="120">
                  <c:v>141K</c:v>
                </c:pt>
                <c:pt idx="121">
                  <c:v>142P</c:v>
                </c:pt>
                <c:pt idx="122">
                  <c:v>143P</c:v>
                </c:pt>
                <c:pt idx="123">
                  <c:v>144P</c:v>
                </c:pt>
                <c:pt idx="124">
                  <c:v>145K</c:v>
                </c:pt>
                <c:pt idx="125">
                  <c:v>146K</c:v>
                </c:pt>
                <c:pt idx="126">
                  <c:v>147K</c:v>
                </c:pt>
                <c:pt idx="127">
                  <c:v>149P</c:v>
                </c:pt>
                <c:pt idx="128">
                  <c:v>150K</c:v>
                </c:pt>
                <c:pt idx="129">
                  <c:v>151P</c:v>
                </c:pt>
                <c:pt idx="130">
                  <c:v>152P</c:v>
                </c:pt>
                <c:pt idx="131">
                  <c:v>153K</c:v>
                </c:pt>
                <c:pt idx="132">
                  <c:v>154K</c:v>
                </c:pt>
                <c:pt idx="133">
                  <c:v>155P</c:v>
                </c:pt>
                <c:pt idx="134">
                  <c:v>156K</c:v>
                </c:pt>
                <c:pt idx="135">
                  <c:v>157P</c:v>
                </c:pt>
                <c:pt idx="136">
                  <c:v>158K</c:v>
                </c:pt>
                <c:pt idx="137">
                  <c:v>159P</c:v>
                </c:pt>
                <c:pt idx="138">
                  <c:v>162P</c:v>
                </c:pt>
                <c:pt idx="139">
                  <c:v>164K</c:v>
                </c:pt>
                <c:pt idx="140">
                  <c:v>165K</c:v>
                </c:pt>
                <c:pt idx="141">
                  <c:v>167K</c:v>
                </c:pt>
                <c:pt idx="142">
                  <c:v>169P</c:v>
                </c:pt>
                <c:pt idx="143">
                  <c:v>170K</c:v>
                </c:pt>
                <c:pt idx="144">
                  <c:v>173P</c:v>
                </c:pt>
                <c:pt idx="145">
                  <c:v>174P</c:v>
                </c:pt>
                <c:pt idx="146">
                  <c:v>175K</c:v>
                </c:pt>
                <c:pt idx="147">
                  <c:v>176K</c:v>
                </c:pt>
                <c:pt idx="148">
                  <c:v>177P</c:v>
                </c:pt>
                <c:pt idx="149">
                  <c:v>178K</c:v>
                </c:pt>
                <c:pt idx="150">
                  <c:v>179P</c:v>
                </c:pt>
                <c:pt idx="151">
                  <c:v>180P</c:v>
                </c:pt>
                <c:pt idx="152">
                  <c:v>182K</c:v>
                </c:pt>
                <c:pt idx="153">
                  <c:v>183K</c:v>
                </c:pt>
                <c:pt idx="154">
                  <c:v>184P</c:v>
                </c:pt>
                <c:pt idx="155">
                  <c:v>185P</c:v>
                </c:pt>
                <c:pt idx="156">
                  <c:v>187K</c:v>
                </c:pt>
                <c:pt idx="157">
                  <c:v>188K</c:v>
                </c:pt>
                <c:pt idx="158">
                  <c:v>189P</c:v>
                </c:pt>
                <c:pt idx="159">
                  <c:v>190K</c:v>
                </c:pt>
                <c:pt idx="160">
                  <c:v>191K</c:v>
                </c:pt>
                <c:pt idx="161">
                  <c:v>192K</c:v>
                </c:pt>
                <c:pt idx="162">
                  <c:v>194P</c:v>
                </c:pt>
                <c:pt idx="163">
                  <c:v>195K</c:v>
                </c:pt>
                <c:pt idx="164">
                  <c:v>196K</c:v>
                </c:pt>
                <c:pt idx="165">
                  <c:v>197P</c:v>
                </c:pt>
                <c:pt idx="166">
                  <c:v>198K</c:v>
                </c:pt>
                <c:pt idx="167">
                  <c:v>199K</c:v>
                </c:pt>
                <c:pt idx="168">
                  <c:v>200P</c:v>
                </c:pt>
                <c:pt idx="169">
                  <c:v>201K</c:v>
                </c:pt>
                <c:pt idx="170">
                  <c:v>203K</c:v>
                </c:pt>
                <c:pt idx="171">
                  <c:v>206K</c:v>
                </c:pt>
                <c:pt idx="172">
                  <c:v>207K</c:v>
                </c:pt>
                <c:pt idx="173">
                  <c:v>208K</c:v>
                </c:pt>
                <c:pt idx="174">
                  <c:v>209P</c:v>
                </c:pt>
                <c:pt idx="175">
                  <c:v>210K</c:v>
                </c:pt>
                <c:pt idx="176">
                  <c:v>211K</c:v>
                </c:pt>
                <c:pt idx="177">
                  <c:v>212P</c:v>
                </c:pt>
                <c:pt idx="178">
                  <c:v>213P</c:v>
                </c:pt>
                <c:pt idx="179">
                  <c:v>214K</c:v>
                </c:pt>
                <c:pt idx="180">
                  <c:v>215K</c:v>
                </c:pt>
                <c:pt idx="181">
                  <c:v>218K</c:v>
                </c:pt>
                <c:pt idx="182">
                  <c:v>219K</c:v>
                </c:pt>
                <c:pt idx="183">
                  <c:v>220K</c:v>
                </c:pt>
                <c:pt idx="184">
                  <c:v>223K</c:v>
                </c:pt>
                <c:pt idx="185">
                  <c:v>227K</c:v>
                </c:pt>
                <c:pt idx="186">
                  <c:v>228P</c:v>
                </c:pt>
                <c:pt idx="187">
                  <c:v>229K</c:v>
                </c:pt>
                <c:pt idx="188">
                  <c:v>230K</c:v>
                </c:pt>
                <c:pt idx="189">
                  <c:v>231K</c:v>
                </c:pt>
                <c:pt idx="190">
                  <c:v>232K</c:v>
                </c:pt>
                <c:pt idx="191">
                  <c:v>233K</c:v>
                </c:pt>
                <c:pt idx="192">
                  <c:v>234K</c:v>
                </c:pt>
                <c:pt idx="193">
                  <c:v>235K</c:v>
                </c:pt>
              </c:strCache>
            </c:strRef>
          </c:cat>
          <c:val>
            <c:numRef>
              <c:f>'ΝΕΚΡΑ ΣΤΗ ΦΩΛΙΑ -DEAD IN NEST'!$C$3:$C$197</c:f>
              <c:numCache>
                <c:formatCode>General</c:formatCode>
                <c:ptCount val="1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9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13</c:v>
                </c:pt>
                <c:pt idx="27">
                  <c:v>0</c:v>
                </c:pt>
                <c:pt idx="28">
                  <c:v>0</c:v>
                </c:pt>
                <c:pt idx="29">
                  <c:v>10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65</c:v>
                </c:pt>
                <c:pt idx="61">
                  <c:v>3</c:v>
                </c:pt>
                <c:pt idx="62">
                  <c:v>0</c:v>
                </c:pt>
                <c:pt idx="63">
                  <c:v>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7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12</c:v>
                </c:pt>
                <c:pt idx="96">
                  <c:v>0</c:v>
                </c:pt>
                <c:pt idx="97">
                  <c:v>0</c:v>
                </c:pt>
                <c:pt idx="98">
                  <c:v>5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5</c:v>
                </c:pt>
                <c:pt idx="110">
                  <c:v>8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3</c:v>
                </c:pt>
                <c:pt idx="141">
                  <c:v>0</c:v>
                </c:pt>
                <c:pt idx="142">
                  <c:v>0</c:v>
                </c:pt>
                <c:pt idx="143">
                  <c:v>3</c:v>
                </c:pt>
                <c:pt idx="144">
                  <c:v>2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8</c:v>
                </c:pt>
                <c:pt idx="154">
                  <c:v>0</c:v>
                </c:pt>
                <c:pt idx="155">
                  <c:v>2</c:v>
                </c:pt>
                <c:pt idx="156">
                  <c:v>0</c:v>
                </c:pt>
                <c:pt idx="157">
                  <c:v>7</c:v>
                </c:pt>
                <c:pt idx="158">
                  <c:v>0</c:v>
                </c:pt>
                <c:pt idx="159">
                  <c:v>0</c:v>
                </c:pt>
                <c:pt idx="160">
                  <c:v>1</c:v>
                </c:pt>
                <c:pt idx="161">
                  <c:v>0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</c:v>
                </c:pt>
                <c:pt idx="167">
                  <c:v>0</c:v>
                </c:pt>
                <c:pt idx="168">
                  <c:v>0</c:v>
                </c:pt>
                <c:pt idx="169">
                  <c:v>36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50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79A-48EF-8EA6-56722DC66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857569"/>
        <c:axId val="289830963"/>
      </c:barChart>
      <c:catAx>
        <c:axId val="9008575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Φωλιές/Ν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ests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289830963"/>
        <c:crosses val="autoZero"/>
        <c:auto val="1"/>
        <c:lblAlgn val="ctr"/>
        <c:lblOffset val="100"/>
        <c:noMultiLvlLbl val="1"/>
      </c:catAx>
      <c:valAx>
        <c:axId val="2898309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Αριθ.αυγών/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Number of eggs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90085756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747673207515722"/>
          <c:y val="9.5898460453637763E-4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Σύνολο αριθμού  αυγών ανά εκσκαμένη φωλιά - ακτή Μούντας 2021
(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Eggs total number per nest excavated - Mounda beach 2021)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</c:tx>
          <c:spPr>
            <a:solidFill>
              <a:srgbClr val="9900FF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 ΑΥΓΑ ΑΝΑ ΦΩΛΙΑ-EGGS PER NESTS'!$A$2:$A$195</c:f>
              <c:strCache>
                <c:ptCount val="194"/>
                <c:pt idx="0">
                  <c:v>1P</c:v>
                </c:pt>
                <c:pt idx="1">
                  <c:v>2P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9K</c:v>
                </c:pt>
                <c:pt idx="9">
                  <c:v>10P</c:v>
                </c:pt>
                <c:pt idx="10">
                  <c:v>11K</c:v>
                </c:pt>
                <c:pt idx="11">
                  <c:v>12K</c:v>
                </c:pt>
                <c:pt idx="12">
                  <c:v>13P</c:v>
                </c:pt>
                <c:pt idx="13">
                  <c:v>14K</c:v>
                </c:pt>
                <c:pt idx="14">
                  <c:v>15P</c:v>
                </c:pt>
                <c:pt idx="15">
                  <c:v>16K</c:v>
                </c:pt>
                <c:pt idx="16">
                  <c:v>17K</c:v>
                </c:pt>
                <c:pt idx="17">
                  <c:v>18P</c:v>
                </c:pt>
                <c:pt idx="18">
                  <c:v>19P</c:v>
                </c:pt>
                <c:pt idx="19">
                  <c:v>20P</c:v>
                </c:pt>
                <c:pt idx="20">
                  <c:v>21K</c:v>
                </c:pt>
                <c:pt idx="21">
                  <c:v>22K</c:v>
                </c:pt>
                <c:pt idx="22">
                  <c:v>23K</c:v>
                </c:pt>
                <c:pt idx="23">
                  <c:v>24K</c:v>
                </c:pt>
                <c:pt idx="24">
                  <c:v>25P</c:v>
                </c:pt>
                <c:pt idx="25">
                  <c:v>26P</c:v>
                </c:pt>
                <c:pt idx="26">
                  <c:v>27P</c:v>
                </c:pt>
                <c:pt idx="27">
                  <c:v>28K</c:v>
                </c:pt>
                <c:pt idx="28">
                  <c:v>29K</c:v>
                </c:pt>
                <c:pt idx="29">
                  <c:v>30K</c:v>
                </c:pt>
                <c:pt idx="30">
                  <c:v>31K</c:v>
                </c:pt>
                <c:pt idx="31">
                  <c:v>32K</c:v>
                </c:pt>
                <c:pt idx="32">
                  <c:v>33P</c:v>
                </c:pt>
                <c:pt idx="33">
                  <c:v>34K</c:v>
                </c:pt>
                <c:pt idx="34">
                  <c:v>35K</c:v>
                </c:pt>
                <c:pt idx="35">
                  <c:v>36K</c:v>
                </c:pt>
                <c:pt idx="36">
                  <c:v>37K</c:v>
                </c:pt>
                <c:pt idx="37">
                  <c:v>38P</c:v>
                </c:pt>
                <c:pt idx="38">
                  <c:v>39K</c:v>
                </c:pt>
                <c:pt idx="39">
                  <c:v>40P</c:v>
                </c:pt>
                <c:pt idx="40">
                  <c:v>41P</c:v>
                </c:pt>
                <c:pt idx="41">
                  <c:v>42K</c:v>
                </c:pt>
                <c:pt idx="42">
                  <c:v>43K</c:v>
                </c:pt>
                <c:pt idx="43">
                  <c:v>44K</c:v>
                </c:pt>
                <c:pt idx="44">
                  <c:v>45K</c:v>
                </c:pt>
                <c:pt idx="45">
                  <c:v>46K</c:v>
                </c:pt>
                <c:pt idx="46">
                  <c:v>47K</c:v>
                </c:pt>
                <c:pt idx="47">
                  <c:v>48K</c:v>
                </c:pt>
                <c:pt idx="48">
                  <c:v>49K</c:v>
                </c:pt>
                <c:pt idx="49">
                  <c:v>50K</c:v>
                </c:pt>
                <c:pt idx="50">
                  <c:v>51P</c:v>
                </c:pt>
                <c:pt idx="51">
                  <c:v>52K</c:v>
                </c:pt>
                <c:pt idx="52">
                  <c:v>53K</c:v>
                </c:pt>
                <c:pt idx="53">
                  <c:v>54K</c:v>
                </c:pt>
                <c:pt idx="54">
                  <c:v>55K</c:v>
                </c:pt>
                <c:pt idx="55">
                  <c:v>56K</c:v>
                </c:pt>
                <c:pt idx="56">
                  <c:v>57K</c:v>
                </c:pt>
                <c:pt idx="57">
                  <c:v>58K</c:v>
                </c:pt>
                <c:pt idx="58">
                  <c:v>59K</c:v>
                </c:pt>
                <c:pt idx="59">
                  <c:v>60P</c:v>
                </c:pt>
                <c:pt idx="60">
                  <c:v>61K</c:v>
                </c:pt>
                <c:pt idx="61">
                  <c:v>62K</c:v>
                </c:pt>
                <c:pt idx="62">
                  <c:v>63K</c:v>
                </c:pt>
                <c:pt idx="63">
                  <c:v>64P</c:v>
                </c:pt>
                <c:pt idx="64">
                  <c:v>65K</c:v>
                </c:pt>
                <c:pt idx="65">
                  <c:v>66P</c:v>
                </c:pt>
                <c:pt idx="66">
                  <c:v>67K</c:v>
                </c:pt>
                <c:pt idx="67">
                  <c:v>68K</c:v>
                </c:pt>
                <c:pt idx="68">
                  <c:v>69K</c:v>
                </c:pt>
                <c:pt idx="69">
                  <c:v>70P</c:v>
                </c:pt>
                <c:pt idx="70">
                  <c:v>71P</c:v>
                </c:pt>
                <c:pt idx="71">
                  <c:v>72K</c:v>
                </c:pt>
                <c:pt idx="72">
                  <c:v>73K</c:v>
                </c:pt>
                <c:pt idx="73">
                  <c:v>74K</c:v>
                </c:pt>
                <c:pt idx="74">
                  <c:v>75K</c:v>
                </c:pt>
                <c:pt idx="75">
                  <c:v>77P</c:v>
                </c:pt>
                <c:pt idx="76">
                  <c:v>78K</c:v>
                </c:pt>
                <c:pt idx="77">
                  <c:v>79P</c:v>
                </c:pt>
                <c:pt idx="78">
                  <c:v>80P</c:v>
                </c:pt>
                <c:pt idx="79">
                  <c:v>82K</c:v>
                </c:pt>
                <c:pt idx="80">
                  <c:v>85P</c:v>
                </c:pt>
                <c:pt idx="81">
                  <c:v>86K</c:v>
                </c:pt>
                <c:pt idx="82">
                  <c:v>87P</c:v>
                </c:pt>
                <c:pt idx="83">
                  <c:v>88K</c:v>
                </c:pt>
                <c:pt idx="84">
                  <c:v>89P</c:v>
                </c:pt>
                <c:pt idx="85">
                  <c:v>91K</c:v>
                </c:pt>
                <c:pt idx="86">
                  <c:v>92P</c:v>
                </c:pt>
                <c:pt idx="87">
                  <c:v>96P</c:v>
                </c:pt>
                <c:pt idx="88">
                  <c:v>97P</c:v>
                </c:pt>
                <c:pt idx="89">
                  <c:v>98P</c:v>
                </c:pt>
                <c:pt idx="90">
                  <c:v>100P</c:v>
                </c:pt>
                <c:pt idx="91">
                  <c:v>101P</c:v>
                </c:pt>
                <c:pt idx="92">
                  <c:v>102P</c:v>
                </c:pt>
                <c:pt idx="93">
                  <c:v>103K</c:v>
                </c:pt>
                <c:pt idx="94">
                  <c:v>104K</c:v>
                </c:pt>
                <c:pt idx="95">
                  <c:v>105P</c:v>
                </c:pt>
                <c:pt idx="96">
                  <c:v>106K</c:v>
                </c:pt>
                <c:pt idx="97">
                  <c:v>108K</c:v>
                </c:pt>
                <c:pt idx="98">
                  <c:v>109K</c:v>
                </c:pt>
                <c:pt idx="99">
                  <c:v>111K</c:v>
                </c:pt>
                <c:pt idx="100">
                  <c:v>113K</c:v>
                </c:pt>
                <c:pt idx="101">
                  <c:v>114P</c:v>
                </c:pt>
                <c:pt idx="102">
                  <c:v>115K</c:v>
                </c:pt>
                <c:pt idx="103">
                  <c:v>120P</c:v>
                </c:pt>
                <c:pt idx="104">
                  <c:v>121P</c:v>
                </c:pt>
                <c:pt idx="105">
                  <c:v>122K</c:v>
                </c:pt>
                <c:pt idx="106">
                  <c:v>123K</c:v>
                </c:pt>
                <c:pt idx="107">
                  <c:v>124P</c:v>
                </c:pt>
                <c:pt idx="108">
                  <c:v>125P</c:v>
                </c:pt>
                <c:pt idx="109">
                  <c:v>126K</c:v>
                </c:pt>
                <c:pt idx="110">
                  <c:v>127K</c:v>
                </c:pt>
                <c:pt idx="111">
                  <c:v>128K</c:v>
                </c:pt>
                <c:pt idx="112">
                  <c:v>129K</c:v>
                </c:pt>
                <c:pt idx="113">
                  <c:v>130P</c:v>
                </c:pt>
                <c:pt idx="114">
                  <c:v>131P</c:v>
                </c:pt>
                <c:pt idx="115">
                  <c:v>133K</c:v>
                </c:pt>
                <c:pt idx="116">
                  <c:v>135K</c:v>
                </c:pt>
                <c:pt idx="117">
                  <c:v>136K</c:v>
                </c:pt>
                <c:pt idx="118">
                  <c:v>137K</c:v>
                </c:pt>
                <c:pt idx="119">
                  <c:v>140K</c:v>
                </c:pt>
                <c:pt idx="120">
                  <c:v>141K</c:v>
                </c:pt>
                <c:pt idx="121">
                  <c:v>142P</c:v>
                </c:pt>
                <c:pt idx="122">
                  <c:v>143P</c:v>
                </c:pt>
                <c:pt idx="123">
                  <c:v>144P</c:v>
                </c:pt>
                <c:pt idx="124">
                  <c:v>145K</c:v>
                </c:pt>
                <c:pt idx="125">
                  <c:v>146K</c:v>
                </c:pt>
                <c:pt idx="126">
                  <c:v>147K</c:v>
                </c:pt>
                <c:pt idx="127">
                  <c:v>149P</c:v>
                </c:pt>
                <c:pt idx="128">
                  <c:v>150K</c:v>
                </c:pt>
                <c:pt idx="129">
                  <c:v>151P</c:v>
                </c:pt>
                <c:pt idx="130">
                  <c:v>152P</c:v>
                </c:pt>
                <c:pt idx="131">
                  <c:v>153K</c:v>
                </c:pt>
                <c:pt idx="132">
                  <c:v>154K</c:v>
                </c:pt>
                <c:pt idx="133">
                  <c:v>155P</c:v>
                </c:pt>
                <c:pt idx="134">
                  <c:v>156K</c:v>
                </c:pt>
                <c:pt idx="135">
                  <c:v>157P</c:v>
                </c:pt>
                <c:pt idx="136">
                  <c:v>158K</c:v>
                </c:pt>
                <c:pt idx="137">
                  <c:v>159P</c:v>
                </c:pt>
                <c:pt idx="138">
                  <c:v>162P</c:v>
                </c:pt>
                <c:pt idx="139">
                  <c:v>164K</c:v>
                </c:pt>
                <c:pt idx="140">
                  <c:v>165K</c:v>
                </c:pt>
                <c:pt idx="141">
                  <c:v>167K</c:v>
                </c:pt>
                <c:pt idx="142">
                  <c:v>169P</c:v>
                </c:pt>
                <c:pt idx="143">
                  <c:v>170K</c:v>
                </c:pt>
                <c:pt idx="144">
                  <c:v>173P</c:v>
                </c:pt>
                <c:pt idx="145">
                  <c:v>174P</c:v>
                </c:pt>
                <c:pt idx="146">
                  <c:v>175K</c:v>
                </c:pt>
                <c:pt idx="147">
                  <c:v>176K</c:v>
                </c:pt>
                <c:pt idx="148">
                  <c:v>177P</c:v>
                </c:pt>
                <c:pt idx="149">
                  <c:v>178K</c:v>
                </c:pt>
                <c:pt idx="150">
                  <c:v>179P</c:v>
                </c:pt>
                <c:pt idx="151">
                  <c:v>180P</c:v>
                </c:pt>
                <c:pt idx="152">
                  <c:v>182K</c:v>
                </c:pt>
                <c:pt idx="153">
                  <c:v>183K</c:v>
                </c:pt>
                <c:pt idx="154">
                  <c:v>184P</c:v>
                </c:pt>
                <c:pt idx="155">
                  <c:v>185P</c:v>
                </c:pt>
                <c:pt idx="156">
                  <c:v>187K</c:v>
                </c:pt>
                <c:pt idx="157">
                  <c:v>188K</c:v>
                </c:pt>
                <c:pt idx="158">
                  <c:v>189P</c:v>
                </c:pt>
                <c:pt idx="159">
                  <c:v>190K</c:v>
                </c:pt>
                <c:pt idx="160">
                  <c:v>191K</c:v>
                </c:pt>
                <c:pt idx="161">
                  <c:v>192K</c:v>
                </c:pt>
                <c:pt idx="162">
                  <c:v>194P</c:v>
                </c:pt>
                <c:pt idx="163">
                  <c:v>195K</c:v>
                </c:pt>
                <c:pt idx="164">
                  <c:v>196K</c:v>
                </c:pt>
                <c:pt idx="165">
                  <c:v>197P</c:v>
                </c:pt>
                <c:pt idx="166">
                  <c:v>198K</c:v>
                </c:pt>
                <c:pt idx="167">
                  <c:v>199K</c:v>
                </c:pt>
                <c:pt idx="168">
                  <c:v>200P</c:v>
                </c:pt>
                <c:pt idx="169">
                  <c:v>201K</c:v>
                </c:pt>
                <c:pt idx="170">
                  <c:v>203K</c:v>
                </c:pt>
                <c:pt idx="171">
                  <c:v>206K</c:v>
                </c:pt>
                <c:pt idx="172">
                  <c:v>207K</c:v>
                </c:pt>
                <c:pt idx="173">
                  <c:v>208K</c:v>
                </c:pt>
                <c:pt idx="174">
                  <c:v>209P</c:v>
                </c:pt>
                <c:pt idx="175">
                  <c:v>210K</c:v>
                </c:pt>
                <c:pt idx="176">
                  <c:v>211K</c:v>
                </c:pt>
                <c:pt idx="177">
                  <c:v>212P</c:v>
                </c:pt>
                <c:pt idx="178">
                  <c:v>213P</c:v>
                </c:pt>
                <c:pt idx="179">
                  <c:v>214K</c:v>
                </c:pt>
                <c:pt idx="180">
                  <c:v>215K</c:v>
                </c:pt>
                <c:pt idx="181">
                  <c:v>218K</c:v>
                </c:pt>
                <c:pt idx="182">
                  <c:v>219K</c:v>
                </c:pt>
                <c:pt idx="183">
                  <c:v>220K</c:v>
                </c:pt>
                <c:pt idx="184">
                  <c:v>223K</c:v>
                </c:pt>
                <c:pt idx="185">
                  <c:v>227K</c:v>
                </c:pt>
                <c:pt idx="186">
                  <c:v>228P</c:v>
                </c:pt>
                <c:pt idx="187">
                  <c:v>229K</c:v>
                </c:pt>
                <c:pt idx="188">
                  <c:v>230K</c:v>
                </c:pt>
                <c:pt idx="189">
                  <c:v>231K</c:v>
                </c:pt>
                <c:pt idx="190">
                  <c:v>232K</c:v>
                </c:pt>
                <c:pt idx="191">
                  <c:v>233K</c:v>
                </c:pt>
                <c:pt idx="192">
                  <c:v>234K</c:v>
                </c:pt>
                <c:pt idx="193">
                  <c:v>235K</c:v>
                </c:pt>
              </c:strCache>
            </c:strRef>
          </c:cat>
          <c:val>
            <c:numRef>
              <c:f>' ΑΥΓΑ ΑΝΑ ΦΩΛΙΑ-EGGS PER NESTS'!$B$2:$B$195</c:f>
              <c:numCache>
                <c:formatCode>General</c:formatCode>
                <c:ptCount val="194"/>
                <c:pt idx="0">
                  <c:v>113</c:v>
                </c:pt>
                <c:pt idx="1">
                  <c:v>99</c:v>
                </c:pt>
                <c:pt idx="2">
                  <c:v>0</c:v>
                </c:pt>
                <c:pt idx="3">
                  <c:v>117</c:v>
                </c:pt>
                <c:pt idx="4">
                  <c:v>95</c:v>
                </c:pt>
                <c:pt idx="5">
                  <c:v>40</c:v>
                </c:pt>
                <c:pt idx="6">
                  <c:v>140</c:v>
                </c:pt>
                <c:pt idx="7">
                  <c:v>58</c:v>
                </c:pt>
                <c:pt idx="8">
                  <c:v>65</c:v>
                </c:pt>
                <c:pt idx="9">
                  <c:v>133</c:v>
                </c:pt>
                <c:pt idx="10">
                  <c:v>0</c:v>
                </c:pt>
                <c:pt idx="11">
                  <c:v>111</c:v>
                </c:pt>
                <c:pt idx="12">
                  <c:v>113</c:v>
                </c:pt>
                <c:pt idx="13">
                  <c:v>118</c:v>
                </c:pt>
                <c:pt idx="14">
                  <c:v>65</c:v>
                </c:pt>
                <c:pt idx="15">
                  <c:v>122</c:v>
                </c:pt>
                <c:pt idx="16">
                  <c:v>104</c:v>
                </c:pt>
                <c:pt idx="17">
                  <c:v>149</c:v>
                </c:pt>
                <c:pt idx="18">
                  <c:v>149</c:v>
                </c:pt>
                <c:pt idx="19">
                  <c:v>114</c:v>
                </c:pt>
                <c:pt idx="20">
                  <c:v>137</c:v>
                </c:pt>
                <c:pt idx="21">
                  <c:v>111</c:v>
                </c:pt>
                <c:pt idx="22">
                  <c:v>0</c:v>
                </c:pt>
                <c:pt idx="23">
                  <c:v>129</c:v>
                </c:pt>
                <c:pt idx="24">
                  <c:v>160</c:v>
                </c:pt>
                <c:pt idx="25">
                  <c:v>126</c:v>
                </c:pt>
                <c:pt idx="26">
                  <c:v>107</c:v>
                </c:pt>
                <c:pt idx="27">
                  <c:v>81</c:v>
                </c:pt>
                <c:pt idx="28">
                  <c:v>65</c:v>
                </c:pt>
                <c:pt idx="29">
                  <c:v>0</c:v>
                </c:pt>
                <c:pt idx="30">
                  <c:v>112</c:v>
                </c:pt>
                <c:pt idx="31">
                  <c:v>117</c:v>
                </c:pt>
                <c:pt idx="32">
                  <c:v>104</c:v>
                </c:pt>
                <c:pt idx="33">
                  <c:v>63</c:v>
                </c:pt>
                <c:pt idx="34">
                  <c:v>0</c:v>
                </c:pt>
                <c:pt idx="35">
                  <c:v>0</c:v>
                </c:pt>
                <c:pt idx="36">
                  <c:v>106</c:v>
                </c:pt>
                <c:pt idx="37">
                  <c:v>0</c:v>
                </c:pt>
                <c:pt idx="38">
                  <c:v>0</c:v>
                </c:pt>
                <c:pt idx="39">
                  <c:v>102</c:v>
                </c:pt>
                <c:pt idx="40">
                  <c:v>86</c:v>
                </c:pt>
                <c:pt idx="41">
                  <c:v>0</c:v>
                </c:pt>
                <c:pt idx="42">
                  <c:v>0</c:v>
                </c:pt>
                <c:pt idx="43">
                  <c:v>68</c:v>
                </c:pt>
                <c:pt idx="44">
                  <c:v>121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84</c:v>
                </c:pt>
                <c:pt idx="49">
                  <c:v>65</c:v>
                </c:pt>
                <c:pt idx="50">
                  <c:v>0</c:v>
                </c:pt>
                <c:pt idx="51">
                  <c:v>0</c:v>
                </c:pt>
                <c:pt idx="52">
                  <c:v>81</c:v>
                </c:pt>
                <c:pt idx="53">
                  <c:v>130</c:v>
                </c:pt>
                <c:pt idx="54">
                  <c:v>0</c:v>
                </c:pt>
                <c:pt idx="55">
                  <c:v>70</c:v>
                </c:pt>
                <c:pt idx="56">
                  <c:v>0</c:v>
                </c:pt>
                <c:pt idx="57">
                  <c:v>122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76</c:v>
                </c:pt>
                <c:pt idx="62">
                  <c:v>105</c:v>
                </c:pt>
                <c:pt idx="63">
                  <c:v>81</c:v>
                </c:pt>
                <c:pt idx="64">
                  <c:v>75</c:v>
                </c:pt>
                <c:pt idx="65">
                  <c:v>105</c:v>
                </c:pt>
                <c:pt idx="66">
                  <c:v>83</c:v>
                </c:pt>
                <c:pt idx="67">
                  <c:v>97</c:v>
                </c:pt>
                <c:pt idx="68">
                  <c:v>79</c:v>
                </c:pt>
                <c:pt idx="69">
                  <c:v>108</c:v>
                </c:pt>
                <c:pt idx="70">
                  <c:v>106</c:v>
                </c:pt>
                <c:pt idx="71">
                  <c:v>135</c:v>
                </c:pt>
                <c:pt idx="72">
                  <c:v>86</c:v>
                </c:pt>
                <c:pt idx="73">
                  <c:v>0</c:v>
                </c:pt>
                <c:pt idx="74">
                  <c:v>137</c:v>
                </c:pt>
                <c:pt idx="75">
                  <c:v>0</c:v>
                </c:pt>
                <c:pt idx="76">
                  <c:v>106</c:v>
                </c:pt>
                <c:pt idx="77">
                  <c:v>93</c:v>
                </c:pt>
                <c:pt idx="78">
                  <c:v>0</c:v>
                </c:pt>
                <c:pt idx="79">
                  <c:v>0</c:v>
                </c:pt>
                <c:pt idx="80">
                  <c:v>95</c:v>
                </c:pt>
                <c:pt idx="81">
                  <c:v>72</c:v>
                </c:pt>
                <c:pt idx="82">
                  <c:v>88</c:v>
                </c:pt>
                <c:pt idx="83">
                  <c:v>0</c:v>
                </c:pt>
                <c:pt idx="84">
                  <c:v>0</c:v>
                </c:pt>
                <c:pt idx="85">
                  <c:v>100</c:v>
                </c:pt>
                <c:pt idx="86">
                  <c:v>0</c:v>
                </c:pt>
                <c:pt idx="87">
                  <c:v>85</c:v>
                </c:pt>
                <c:pt idx="88">
                  <c:v>77</c:v>
                </c:pt>
                <c:pt idx="89">
                  <c:v>107</c:v>
                </c:pt>
                <c:pt idx="90">
                  <c:v>99</c:v>
                </c:pt>
                <c:pt idx="91">
                  <c:v>0</c:v>
                </c:pt>
                <c:pt idx="92">
                  <c:v>0</c:v>
                </c:pt>
                <c:pt idx="93">
                  <c:v>52</c:v>
                </c:pt>
                <c:pt idx="94">
                  <c:v>0</c:v>
                </c:pt>
                <c:pt idx="95">
                  <c:v>0</c:v>
                </c:pt>
                <c:pt idx="96">
                  <c:v>112</c:v>
                </c:pt>
                <c:pt idx="97">
                  <c:v>108</c:v>
                </c:pt>
                <c:pt idx="98">
                  <c:v>0</c:v>
                </c:pt>
                <c:pt idx="99">
                  <c:v>45</c:v>
                </c:pt>
                <c:pt idx="100">
                  <c:v>0</c:v>
                </c:pt>
                <c:pt idx="101">
                  <c:v>68</c:v>
                </c:pt>
                <c:pt idx="102">
                  <c:v>0</c:v>
                </c:pt>
                <c:pt idx="103">
                  <c:v>92</c:v>
                </c:pt>
                <c:pt idx="104">
                  <c:v>0</c:v>
                </c:pt>
                <c:pt idx="105">
                  <c:v>0</c:v>
                </c:pt>
                <c:pt idx="106">
                  <c:v>82</c:v>
                </c:pt>
                <c:pt idx="107">
                  <c:v>0</c:v>
                </c:pt>
                <c:pt idx="108">
                  <c:v>84</c:v>
                </c:pt>
                <c:pt idx="109">
                  <c:v>98</c:v>
                </c:pt>
                <c:pt idx="110">
                  <c:v>118</c:v>
                </c:pt>
                <c:pt idx="111">
                  <c:v>81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75</c:v>
                </c:pt>
                <c:pt idx="116">
                  <c:v>0</c:v>
                </c:pt>
                <c:pt idx="117">
                  <c:v>84</c:v>
                </c:pt>
                <c:pt idx="118">
                  <c:v>0</c:v>
                </c:pt>
                <c:pt idx="119">
                  <c:v>69</c:v>
                </c:pt>
                <c:pt idx="120">
                  <c:v>0</c:v>
                </c:pt>
                <c:pt idx="121">
                  <c:v>15</c:v>
                </c:pt>
                <c:pt idx="122">
                  <c:v>82</c:v>
                </c:pt>
                <c:pt idx="123">
                  <c:v>102</c:v>
                </c:pt>
                <c:pt idx="124">
                  <c:v>100</c:v>
                </c:pt>
                <c:pt idx="125">
                  <c:v>18</c:v>
                </c:pt>
                <c:pt idx="126">
                  <c:v>0</c:v>
                </c:pt>
                <c:pt idx="127">
                  <c:v>92</c:v>
                </c:pt>
                <c:pt idx="128">
                  <c:v>0</c:v>
                </c:pt>
                <c:pt idx="129">
                  <c:v>92</c:v>
                </c:pt>
                <c:pt idx="130">
                  <c:v>67</c:v>
                </c:pt>
                <c:pt idx="131">
                  <c:v>0</c:v>
                </c:pt>
                <c:pt idx="132">
                  <c:v>92</c:v>
                </c:pt>
                <c:pt idx="133">
                  <c:v>91</c:v>
                </c:pt>
                <c:pt idx="134">
                  <c:v>53</c:v>
                </c:pt>
                <c:pt idx="135">
                  <c:v>79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98</c:v>
                </c:pt>
                <c:pt idx="141">
                  <c:v>97</c:v>
                </c:pt>
                <c:pt idx="142">
                  <c:v>79</c:v>
                </c:pt>
                <c:pt idx="143">
                  <c:v>72</c:v>
                </c:pt>
                <c:pt idx="144">
                  <c:v>77</c:v>
                </c:pt>
                <c:pt idx="145">
                  <c:v>84</c:v>
                </c:pt>
                <c:pt idx="146">
                  <c:v>0</c:v>
                </c:pt>
                <c:pt idx="147">
                  <c:v>0</c:v>
                </c:pt>
                <c:pt idx="148">
                  <c:v>90</c:v>
                </c:pt>
                <c:pt idx="149">
                  <c:v>92</c:v>
                </c:pt>
                <c:pt idx="150">
                  <c:v>0</c:v>
                </c:pt>
                <c:pt idx="151">
                  <c:v>0</c:v>
                </c:pt>
                <c:pt idx="152">
                  <c:v>50</c:v>
                </c:pt>
                <c:pt idx="153">
                  <c:v>62</c:v>
                </c:pt>
                <c:pt idx="154">
                  <c:v>75</c:v>
                </c:pt>
                <c:pt idx="155">
                  <c:v>0</c:v>
                </c:pt>
                <c:pt idx="156">
                  <c:v>115</c:v>
                </c:pt>
                <c:pt idx="157">
                  <c:v>52</c:v>
                </c:pt>
                <c:pt idx="158">
                  <c:v>102</c:v>
                </c:pt>
                <c:pt idx="159">
                  <c:v>0</c:v>
                </c:pt>
                <c:pt idx="160">
                  <c:v>70</c:v>
                </c:pt>
                <c:pt idx="161">
                  <c:v>95</c:v>
                </c:pt>
                <c:pt idx="162">
                  <c:v>111</c:v>
                </c:pt>
                <c:pt idx="163">
                  <c:v>63</c:v>
                </c:pt>
                <c:pt idx="164">
                  <c:v>103</c:v>
                </c:pt>
                <c:pt idx="165">
                  <c:v>67</c:v>
                </c:pt>
                <c:pt idx="166">
                  <c:v>54</c:v>
                </c:pt>
                <c:pt idx="167">
                  <c:v>61</c:v>
                </c:pt>
                <c:pt idx="168">
                  <c:v>0</c:v>
                </c:pt>
                <c:pt idx="169">
                  <c:v>0</c:v>
                </c:pt>
                <c:pt idx="170">
                  <c:v>98</c:v>
                </c:pt>
                <c:pt idx="171">
                  <c:v>77</c:v>
                </c:pt>
                <c:pt idx="172">
                  <c:v>77</c:v>
                </c:pt>
                <c:pt idx="173">
                  <c:v>74</c:v>
                </c:pt>
                <c:pt idx="174">
                  <c:v>0</c:v>
                </c:pt>
                <c:pt idx="175">
                  <c:v>66</c:v>
                </c:pt>
                <c:pt idx="176">
                  <c:v>59</c:v>
                </c:pt>
                <c:pt idx="177">
                  <c:v>98</c:v>
                </c:pt>
                <c:pt idx="178">
                  <c:v>73</c:v>
                </c:pt>
                <c:pt idx="179">
                  <c:v>101</c:v>
                </c:pt>
                <c:pt idx="180">
                  <c:v>100</c:v>
                </c:pt>
                <c:pt idx="181">
                  <c:v>93</c:v>
                </c:pt>
                <c:pt idx="182">
                  <c:v>62</c:v>
                </c:pt>
                <c:pt idx="183">
                  <c:v>80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FB8-437D-97FA-0FA727A53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758510"/>
        <c:axId val="1204307766"/>
      </c:barChart>
      <c:catAx>
        <c:axId val="20927585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Φωλιές / 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1204307766"/>
        <c:crosses val="autoZero"/>
        <c:auto val="1"/>
        <c:lblAlgn val="ctr"/>
        <c:lblOffset val="100"/>
        <c:noMultiLvlLbl val="1"/>
      </c:catAx>
      <c:valAx>
        <c:axId val="12043077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Αριθμός  αυγών / 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Eggs number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209275851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1"/>
  <c:style val="2"/>
  <c:chart>
    <c:title>
      <c:tx>
        <c:rich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r>
              <a:rPr lang="el-GR" sz="1000" b="0" i="0">
                <a:solidFill>
                  <a:srgbClr val="000000"/>
                </a:solidFill>
                <a:latin typeface="+mn-lt"/>
              </a:rPr>
              <a:t>Αναδυθέντες νεοσσοί ανά εκσκαμένη φωλία - ακτή Μούντας 2021
(Ε</a:t>
            </a:r>
            <a:r>
              <a:rPr lang="fr-FR" sz="1000" b="0" i="0">
                <a:solidFill>
                  <a:srgbClr val="000000"/>
                </a:solidFill>
                <a:latin typeface="+mn-lt"/>
              </a:rPr>
              <a:t>mergenced  per nest excavated -Mounda beach 2021)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3.265993265993266E-2"/>
          <c:y val="0.14523809523809525"/>
          <c:w val="0.88888888888888884"/>
          <c:h val="0.64690994504443433"/>
        </c:manualLayout>
      </c:layout>
      <c:barChart>
        <c:barDir val="col"/>
        <c:grouping val="clustered"/>
        <c:varyColors val="1"/>
        <c:ser>
          <c:idx val="0"/>
          <c:order val="0"/>
          <c:tx>
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</c:tx>
          <c:spPr>
            <a:solidFill>
              <a:srgbClr val="0000FF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'ΑΝΑΔΥΘΕΝΤΑ-EMERGENCED'!$A$2:$A$197</c:f>
              <c:strCache>
                <c:ptCount val="194"/>
                <c:pt idx="0">
                  <c:v>1P</c:v>
                </c:pt>
                <c:pt idx="1">
                  <c:v>2P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9K</c:v>
                </c:pt>
                <c:pt idx="9">
                  <c:v>10P</c:v>
                </c:pt>
                <c:pt idx="10">
                  <c:v>11K</c:v>
                </c:pt>
                <c:pt idx="11">
                  <c:v>12K</c:v>
                </c:pt>
                <c:pt idx="12">
                  <c:v>13P</c:v>
                </c:pt>
                <c:pt idx="13">
                  <c:v>14K</c:v>
                </c:pt>
                <c:pt idx="14">
                  <c:v>15P</c:v>
                </c:pt>
                <c:pt idx="15">
                  <c:v>16K</c:v>
                </c:pt>
                <c:pt idx="16">
                  <c:v>17K</c:v>
                </c:pt>
                <c:pt idx="17">
                  <c:v>18P</c:v>
                </c:pt>
                <c:pt idx="18">
                  <c:v>19P</c:v>
                </c:pt>
                <c:pt idx="19">
                  <c:v>20P</c:v>
                </c:pt>
                <c:pt idx="20">
                  <c:v>21K</c:v>
                </c:pt>
                <c:pt idx="21">
                  <c:v>22K</c:v>
                </c:pt>
                <c:pt idx="22">
                  <c:v>23K</c:v>
                </c:pt>
                <c:pt idx="23">
                  <c:v>24K</c:v>
                </c:pt>
                <c:pt idx="24">
                  <c:v>25P</c:v>
                </c:pt>
                <c:pt idx="25">
                  <c:v>26P</c:v>
                </c:pt>
                <c:pt idx="26">
                  <c:v>27P</c:v>
                </c:pt>
                <c:pt idx="27">
                  <c:v>28K</c:v>
                </c:pt>
                <c:pt idx="28">
                  <c:v>29K</c:v>
                </c:pt>
                <c:pt idx="29">
                  <c:v>30K</c:v>
                </c:pt>
                <c:pt idx="30">
                  <c:v>31K</c:v>
                </c:pt>
                <c:pt idx="31">
                  <c:v>32K</c:v>
                </c:pt>
                <c:pt idx="32">
                  <c:v>33P</c:v>
                </c:pt>
                <c:pt idx="33">
                  <c:v>34K</c:v>
                </c:pt>
                <c:pt idx="34">
                  <c:v>35K</c:v>
                </c:pt>
                <c:pt idx="35">
                  <c:v>36K</c:v>
                </c:pt>
                <c:pt idx="36">
                  <c:v>37K</c:v>
                </c:pt>
                <c:pt idx="37">
                  <c:v>38P</c:v>
                </c:pt>
                <c:pt idx="38">
                  <c:v>39K</c:v>
                </c:pt>
                <c:pt idx="39">
                  <c:v>40P</c:v>
                </c:pt>
                <c:pt idx="40">
                  <c:v>41P</c:v>
                </c:pt>
                <c:pt idx="41">
                  <c:v>42K</c:v>
                </c:pt>
                <c:pt idx="42">
                  <c:v>43K</c:v>
                </c:pt>
                <c:pt idx="43">
                  <c:v>44K</c:v>
                </c:pt>
                <c:pt idx="44">
                  <c:v>45K</c:v>
                </c:pt>
                <c:pt idx="45">
                  <c:v>46K</c:v>
                </c:pt>
                <c:pt idx="46">
                  <c:v>47K</c:v>
                </c:pt>
                <c:pt idx="47">
                  <c:v>48K</c:v>
                </c:pt>
                <c:pt idx="48">
                  <c:v>49K</c:v>
                </c:pt>
                <c:pt idx="49">
                  <c:v>50K</c:v>
                </c:pt>
                <c:pt idx="50">
                  <c:v>51P</c:v>
                </c:pt>
                <c:pt idx="51">
                  <c:v>52K</c:v>
                </c:pt>
                <c:pt idx="52">
                  <c:v>53K</c:v>
                </c:pt>
                <c:pt idx="53">
                  <c:v>54K</c:v>
                </c:pt>
                <c:pt idx="54">
                  <c:v>55K</c:v>
                </c:pt>
                <c:pt idx="55">
                  <c:v>56K</c:v>
                </c:pt>
                <c:pt idx="56">
                  <c:v>57K</c:v>
                </c:pt>
                <c:pt idx="57">
                  <c:v>58K</c:v>
                </c:pt>
                <c:pt idx="58">
                  <c:v>59K</c:v>
                </c:pt>
                <c:pt idx="59">
                  <c:v>60P</c:v>
                </c:pt>
                <c:pt idx="60">
                  <c:v>61K</c:v>
                </c:pt>
                <c:pt idx="61">
                  <c:v>62K</c:v>
                </c:pt>
                <c:pt idx="62">
                  <c:v>63K</c:v>
                </c:pt>
                <c:pt idx="63">
                  <c:v>64P</c:v>
                </c:pt>
                <c:pt idx="64">
                  <c:v>65K</c:v>
                </c:pt>
                <c:pt idx="65">
                  <c:v>66P</c:v>
                </c:pt>
                <c:pt idx="66">
                  <c:v>67K</c:v>
                </c:pt>
                <c:pt idx="67">
                  <c:v>68K</c:v>
                </c:pt>
                <c:pt idx="68">
                  <c:v>69K</c:v>
                </c:pt>
                <c:pt idx="69">
                  <c:v>70P</c:v>
                </c:pt>
                <c:pt idx="70">
                  <c:v>71P</c:v>
                </c:pt>
                <c:pt idx="71">
                  <c:v>72K</c:v>
                </c:pt>
                <c:pt idx="72">
                  <c:v>73K</c:v>
                </c:pt>
                <c:pt idx="73">
                  <c:v>74K</c:v>
                </c:pt>
                <c:pt idx="74">
                  <c:v>75K</c:v>
                </c:pt>
                <c:pt idx="75">
                  <c:v>77P</c:v>
                </c:pt>
                <c:pt idx="76">
                  <c:v>78K</c:v>
                </c:pt>
                <c:pt idx="77">
                  <c:v>79P</c:v>
                </c:pt>
                <c:pt idx="78">
                  <c:v>80P</c:v>
                </c:pt>
                <c:pt idx="79">
                  <c:v>82K</c:v>
                </c:pt>
                <c:pt idx="80">
                  <c:v>85P</c:v>
                </c:pt>
                <c:pt idx="81">
                  <c:v>86K</c:v>
                </c:pt>
                <c:pt idx="82">
                  <c:v>87P</c:v>
                </c:pt>
                <c:pt idx="83">
                  <c:v>88K</c:v>
                </c:pt>
                <c:pt idx="84">
                  <c:v>89P</c:v>
                </c:pt>
                <c:pt idx="85">
                  <c:v>91K</c:v>
                </c:pt>
                <c:pt idx="86">
                  <c:v>92P</c:v>
                </c:pt>
                <c:pt idx="87">
                  <c:v>96P</c:v>
                </c:pt>
                <c:pt idx="88">
                  <c:v>97P</c:v>
                </c:pt>
                <c:pt idx="89">
                  <c:v>98P</c:v>
                </c:pt>
                <c:pt idx="90">
                  <c:v>100P</c:v>
                </c:pt>
                <c:pt idx="91">
                  <c:v>101P</c:v>
                </c:pt>
                <c:pt idx="92">
                  <c:v>102P</c:v>
                </c:pt>
                <c:pt idx="93">
                  <c:v>103K</c:v>
                </c:pt>
                <c:pt idx="94">
                  <c:v>104K</c:v>
                </c:pt>
                <c:pt idx="95">
                  <c:v>105P</c:v>
                </c:pt>
                <c:pt idx="96">
                  <c:v>106K</c:v>
                </c:pt>
                <c:pt idx="97">
                  <c:v>108K</c:v>
                </c:pt>
                <c:pt idx="98">
                  <c:v>109K</c:v>
                </c:pt>
                <c:pt idx="99">
                  <c:v>111K</c:v>
                </c:pt>
                <c:pt idx="100">
                  <c:v>113K</c:v>
                </c:pt>
                <c:pt idx="101">
                  <c:v>114P</c:v>
                </c:pt>
                <c:pt idx="102">
                  <c:v>115K</c:v>
                </c:pt>
                <c:pt idx="103">
                  <c:v>120P</c:v>
                </c:pt>
                <c:pt idx="104">
                  <c:v>121P</c:v>
                </c:pt>
                <c:pt idx="105">
                  <c:v>122K</c:v>
                </c:pt>
                <c:pt idx="106">
                  <c:v>123K</c:v>
                </c:pt>
                <c:pt idx="107">
                  <c:v>124P</c:v>
                </c:pt>
                <c:pt idx="108">
                  <c:v>125P</c:v>
                </c:pt>
                <c:pt idx="109">
                  <c:v>126K</c:v>
                </c:pt>
                <c:pt idx="110">
                  <c:v>127K</c:v>
                </c:pt>
                <c:pt idx="111">
                  <c:v>128K</c:v>
                </c:pt>
                <c:pt idx="112">
                  <c:v>129K</c:v>
                </c:pt>
                <c:pt idx="113">
                  <c:v>130P</c:v>
                </c:pt>
                <c:pt idx="114">
                  <c:v>131P</c:v>
                </c:pt>
                <c:pt idx="115">
                  <c:v>133K</c:v>
                </c:pt>
                <c:pt idx="116">
                  <c:v>135K</c:v>
                </c:pt>
                <c:pt idx="117">
                  <c:v>136K</c:v>
                </c:pt>
                <c:pt idx="118">
                  <c:v>137K</c:v>
                </c:pt>
                <c:pt idx="119">
                  <c:v>140K</c:v>
                </c:pt>
                <c:pt idx="120">
                  <c:v>141K</c:v>
                </c:pt>
                <c:pt idx="121">
                  <c:v>142P</c:v>
                </c:pt>
                <c:pt idx="122">
                  <c:v>143P</c:v>
                </c:pt>
                <c:pt idx="123">
                  <c:v>144P</c:v>
                </c:pt>
                <c:pt idx="124">
                  <c:v>145K</c:v>
                </c:pt>
                <c:pt idx="125">
                  <c:v>146K</c:v>
                </c:pt>
                <c:pt idx="126">
                  <c:v>147K</c:v>
                </c:pt>
                <c:pt idx="127">
                  <c:v>149P</c:v>
                </c:pt>
                <c:pt idx="128">
                  <c:v>150K</c:v>
                </c:pt>
                <c:pt idx="129">
                  <c:v>151P</c:v>
                </c:pt>
                <c:pt idx="130">
                  <c:v>152P</c:v>
                </c:pt>
                <c:pt idx="131">
                  <c:v>153K</c:v>
                </c:pt>
                <c:pt idx="132">
                  <c:v>154K</c:v>
                </c:pt>
                <c:pt idx="133">
                  <c:v>155P</c:v>
                </c:pt>
                <c:pt idx="134">
                  <c:v>156K</c:v>
                </c:pt>
                <c:pt idx="135">
                  <c:v>157P</c:v>
                </c:pt>
                <c:pt idx="136">
                  <c:v>158K</c:v>
                </c:pt>
                <c:pt idx="137">
                  <c:v>159P</c:v>
                </c:pt>
                <c:pt idx="138">
                  <c:v>162P</c:v>
                </c:pt>
                <c:pt idx="139">
                  <c:v>164K</c:v>
                </c:pt>
                <c:pt idx="140">
                  <c:v>165K</c:v>
                </c:pt>
                <c:pt idx="141">
                  <c:v>167K</c:v>
                </c:pt>
                <c:pt idx="142">
                  <c:v>169P</c:v>
                </c:pt>
                <c:pt idx="143">
                  <c:v>170K</c:v>
                </c:pt>
                <c:pt idx="144">
                  <c:v>173P</c:v>
                </c:pt>
                <c:pt idx="145">
                  <c:v>174P</c:v>
                </c:pt>
                <c:pt idx="146">
                  <c:v>175K</c:v>
                </c:pt>
                <c:pt idx="147">
                  <c:v>176K</c:v>
                </c:pt>
                <c:pt idx="148">
                  <c:v>177P</c:v>
                </c:pt>
                <c:pt idx="149">
                  <c:v>178K</c:v>
                </c:pt>
                <c:pt idx="150">
                  <c:v>179P</c:v>
                </c:pt>
                <c:pt idx="151">
                  <c:v>180P</c:v>
                </c:pt>
                <c:pt idx="152">
                  <c:v>182K</c:v>
                </c:pt>
                <c:pt idx="153">
                  <c:v>183K</c:v>
                </c:pt>
                <c:pt idx="154">
                  <c:v>184P</c:v>
                </c:pt>
                <c:pt idx="155">
                  <c:v>185P</c:v>
                </c:pt>
                <c:pt idx="156">
                  <c:v>187K</c:v>
                </c:pt>
                <c:pt idx="157">
                  <c:v>188K</c:v>
                </c:pt>
                <c:pt idx="158">
                  <c:v>189P</c:v>
                </c:pt>
                <c:pt idx="159">
                  <c:v>190K</c:v>
                </c:pt>
                <c:pt idx="160">
                  <c:v>191K</c:v>
                </c:pt>
                <c:pt idx="161">
                  <c:v>192K</c:v>
                </c:pt>
                <c:pt idx="162">
                  <c:v>194P</c:v>
                </c:pt>
                <c:pt idx="163">
                  <c:v>195K</c:v>
                </c:pt>
                <c:pt idx="164">
                  <c:v>196K</c:v>
                </c:pt>
                <c:pt idx="165">
                  <c:v>197P</c:v>
                </c:pt>
                <c:pt idx="166">
                  <c:v>198K</c:v>
                </c:pt>
                <c:pt idx="167">
                  <c:v>199K</c:v>
                </c:pt>
                <c:pt idx="168">
                  <c:v>200P</c:v>
                </c:pt>
                <c:pt idx="169">
                  <c:v>201K</c:v>
                </c:pt>
                <c:pt idx="170">
                  <c:v>203K</c:v>
                </c:pt>
                <c:pt idx="171">
                  <c:v>206K</c:v>
                </c:pt>
                <c:pt idx="172">
                  <c:v>207K</c:v>
                </c:pt>
                <c:pt idx="173">
                  <c:v>208K</c:v>
                </c:pt>
                <c:pt idx="174">
                  <c:v>209P</c:v>
                </c:pt>
                <c:pt idx="175">
                  <c:v>210K</c:v>
                </c:pt>
                <c:pt idx="176">
                  <c:v>211K</c:v>
                </c:pt>
                <c:pt idx="177">
                  <c:v>212P</c:v>
                </c:pt>
                <c:pt idx="178">
                  <c:v>213P</c:v>
                </c:pt>
                <c:pt idx="179">
                  <c:v>214K</c:v>
                </c:pt>
                <c:pt idx="180">
                  <c:v>215K</c:v>
                </c:pt>
                <c:pt idx="181">
                  <c:v>218K</c:v>
                </c:pt>
                <c:pt idx="182">
                  <c:v>219K</c:v>
                </c:pt>
                <c:pt idx="183">
                  <c:v>220K</c:v>
                </c:pt>
                <c:pt idx="184">
                  <c:v>223K</c:v>
                </c:pt>
                <c:pt idx="185">
                  <c:v>227K</c:v>
                </c:pt>
                <c:pt idx="186">
                  <c:v>228P</c:v>
                </c:pt>
                <c:pt idx="187">
                  <c:v>229K</c:v>
                </c:pt>
                <c:pt idx="188">
                  <c:v>230K</c:v>
                </c:pt>
                <c:pt idx="189">
                  <c:v>231K</c:v>
                </c:pt>
                <c:pt idx="190">
                  <c:v>232K</c:v>
                </c:pt>
                <c:pt idx="191">
                  <c:v>233K</c:v>
                </c:pt>
                <c:pt idx="192">
                  <c:v>234K</c:v>
                </c:pt>
                <c:pt idx="193">
                  <c:v>235K</c:v>
                </c:pt>
              </c:strCache>
            </c:strRef>
          </c:cat>
          <c:val>
            <c:numRef>
              <c:f>'ΑΝΑΔΥΘΕΝΤΑ-EMERGENCED'!$B$2:$B$197</c:f>
              <c:numCache>
                <c:formatCode>General</c:formatCode>
                <c:ptCount val="196"/>
                <c:pt idx="0">
                  <c:v>113</c:v>
                </c:pt>
                <c:pt idx="1">
                  <c:v>99</c:v>
                </c:pt>
                <c:pt idx="2">
                  <c:v>0</c:v>
                </c:pt>
                <c:pt idx="3">
                  <c:v>117</c:v>
                </c:pt>
                <c:pt idx="4">
                  <c:v>95</c:v>
                </c:pt>
                <c:pt idx="5">
                  <c:v>40</c:v>
                </c:pt>
                <c:pt idx="6">
                  <c:v>140</c:v>
                </c:pt>
                <c:pt idx="7">
                  <c:v>58</c:v>
                </c:pt>
                <c:pt idx="8">
                  <c:v>65</c:v>
                </c:pt>
                <c:pt idx="9">
                  <c:v>133</c:v>
                </c:pt>
                <c:pt idx="10">
                  <c:v>0</c:v>
                </c:pt>
                <c:pt idx="11">
                  <c:v>111</c:v>
                </c:pt>
                <c:pt idx="12">
                  <c:v>113</c:v>
                </c:pt>
                <c:pt idx="13">
                  <c:v>118</c:v>
                </c:pt>
                <c:pt idx="14">
                  <c:v>65</c:v>
                </c:pt>
                <c:pt idx="15">
                  <c:v>122</c:v>
                </c:pt>
                <c:pt idx="16">
                  <c:v>104</c:v>
                </c:pt>
                <c:pt idx="17">
                  <c:v>149</c:v>
                </c:pt>
                <c:pt idx="18">
                  <c:v>149</c:v>
                </c:pt>
                <c:pt idx="19">
                  <c:v>114</c:v>
                </c:pt>
                <c:pt idx="20">
                  <c:v>137</c:v>
                </c:pt>
                <c:pt idx="21">
                  <c:v>111</c:v>
                </c:pt>
                <c:pt idx="22">
                  <c:v>0</c:v>
                </c:pt>
                <c:pt idx="23">
                  <c:v>129</c:v>
                </c:pt>
                <c:pt idx="24">
                  <c:v>160</c:v>
                </c:pt>
                <c:pt idx="25">
                  <c:v>126</c:v>
                </c:pt>
                <c:pt idx="26">
                  <c:v>107</c:v>
                </c:pt>
                <c:pt idx="27">
                  <c:v>81</c:v>
                </c:pt>
                <c:pt idx="28">
                  <c:v>65</c:v>
                </c:pt>
                <c:pt idx="29">
                  <c:v>0</c:v>
                </c:pt>
                <c:pt idx="30">
                  <c:v>112</c:v>
                </c:pt>
                <c:pt idx="31">
                  <c:v>117</c:v>
                </c:pt>
                <c:pt idx="32">
                  <c:v>104</c:v>
                </c:pt>
                <c:pt idx="33">
                  <c:v>63</c:v>
                </c:pt>
                <c:pt idx="34">
                  <c:v>0</c:v>
                </c:pt>
                <c:pt idx="35">
                  <c:v>0</c:v>
                </c:pt>
                <c:pt idx="36">
                  <c:v>106</c:v>
                </c:pt>
                <c:pt idx="37">
                  <c:v>0</c:v>
                </c:pt>
                <c:pt idx="38">
                  <c:v>0</c:v>
                </c:pt>
                <c:pt idx="39">
                  <c:v>102</c:v>
                </c:pt>
                <c:pt idx="40">
                  <c:v>86</c:v>
                </c:pt>
                <c:pt idx="41">
                  <c:v>0</c:v>
                </c:pt>
                <c:pt idx="42">
                  <c:v>0</c:v>
                </c:pt>
                <c:pt idx="43">
                  <c:v>68</c:v>
                </c:pt>
                <c:pt idx="44">
                  <c:v>121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84</c:v>
                </c:pt>
                <c:pt idx="49">
                  <c:v>65</c:v>
                </c:pt>
                <c:pt idx="50">
                  <c:v>0</c:v>
                </c:pt>
                <c:pt idx="51">
                  <c:v>0</c:v>
                </c:pt>
                <c:pt idx="52">
                  <c:v>81</c:v>
                </c:pt>
                <c:pt idx="53">
                  <c:v>130</c:v>
                </c:pt>
                <c:pt idx="54">
                  <c:v>0</c:v>
                </c:pt>
                <c:pt idx="55">
                  <c:v>70</c:v>
                </c:pt>
                <c:pt idx="56">
                  <c:v>0</c:v>
                </c:pt>
                <c:pt idx="57">
                  <c:v>122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76</c:v>
                </c:pt>
                <c:pt idx="62">
                  <c:v>105</c:v>
                </c:pt>
                <c:pt idx="63">
                  <c:v>81</c:v>
                </c:pt>
                <c:pt idx="64">
                  <c:v>75</c:v>
                </c:pt>
                <c:pt idx="65">
                  <c:v>105</c:v>
                </c:pt>
                <c:pt idx="66">
                  <c:v>83</c:v>
                </c:pt>
                <c:pt idx="67">
                  <c:v>97</c:v>
                </c:pt>
                <c:pt idx="68">
                  <c:v>79</c:v>
                </c:pt>
                <c:pt idx="69">
                  <c:v>108</c:v>
                </c:pt>
                <c:pt idx="70">
                  <c:v>106</c:v>
                </c:pt>
                <c:pt idx="71">
                  <c:v>135</c:v>
                </c:pt>
                <c:pt idx="72">
                  <c:v>86</c:v>
                </c:pt>
                <c:pt idx="73">
                  <c:v>0</c:v>
                </c:pt>
                <c:pt idx="74">
                  <c:v>137</c:v>
                </c:pt>
                <c:pt idx="75">
                  <c:v>0</c:v>
                </c:pt>
                <c:pt idx="76">
                  <c:v>106</c:v>
                </c:pt>
                <c:pt idx="77">
                  <c:v>93</c:v>
                </c:pt>
                <c:pt idx="78">
                  <c:v>0</c:v>
                </c:pt>
                <c:pt idx="79">
                  <c:v>0</c:v>
                </c:pt>
                <c:pt idx="80">
                  <c:v>95</c:v>
                </c:pt>
                <c:pt idx="81">
                  <c:v>72</c:v>
                </c:pt>
                <c:pt idx="82">
                  <c:v>88</c:v>
                </c:pt>
                <c:pt idx="83">
                  <c:v>0</c:v>
                </c:pt>
                <c:pt idx="84">
                  <c:v>0</c:v>
                </c:pt>
                <c:pt idx="85">
                  <c:v>100</c:v>
                </c:pt>
                <c:pt idx="86">
                  <c:v>0</c:v>
                </c:pt>
                <c:pt idx="87">
                  <c:v>85</c:v>
                </c:pt>
                <c:pt idx="88">
                  <c:v>77</c:v>
                </c:pt>
                <c:pt idx="89">
                  <c:v>107</c:v>
                </c:pt>
                <c:pt idx="90">
                  <c:v>99</c:v>
                </c:pt>
                <c:pt idx="91">
                  <c:v>0</c:v>
                </c:pt>
                <c:pt idx="92">
                  <c:v>0</c:v>
                </c:pt>
                <c:pt idx="93">
                  <c:v>52</c:v>
                </c:pt>
                <c:pt idx="94">
                  <c:v>0</c:v>
                </c:pt>
                <c:pt idx="95">
                  <c:v>0</c:v>
                </c:pt>
                <c:pt idx="96">
                  <c:v>112</c:v>
                </c:pt>
                <c:pt idx="97">
                  <c:v>108</c:v>
                </c:pt>
                <c:pt idx="98">
                  <c:v>0</c:v>
                </c:pt>
                <c:pt idx="99">
                  <c:v>45</c:v>
                </c:pt>
                <c:pt idx="100">
                  <c:v>0</c:v>
                </c:pt>
                <c:pt idx="101">
                  <c:v>68</c:v>
                </c:pt>
                <c:pt idx="102">
                  <c:v>0</c:v>
                </c:pt>
                <c:pt idx="103">
                  <c:v>92</c:v>
                </c:pt>
                <c:pt idx="104">
                  <c:v>0</c:v>
                </c:pt>
                <c:pt idx="105">
                  <c:v>0</c:v>
                </c:pt>
                <c:pt idx="106">
                  <c:v>82</c:v>
                </c:pt>
                <c:pt idx="107">
                  <c:v>0</c:v>
                </c:pt>
                <c:pt idx="108">
                  <c:v>84</c:v>
                </c:pt>
                <c:pt idx="109">
                  <c:v>98</c:v>
                </c:pt>
                <c:pt idx="110">
                  <c:v>118</c:v>
                </c:pt>
                <c:pt idx="111">
                  <c:v>81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75</c:v>
                </c:pt>
                <c:pt idx="116">
                  <c:v>0</c:v>
                </c:pt>
                <c:pt idx="117">
                  <c:v>84</c:v>
                </c:pt>
                <c:pt idx="118">
                  <c:v>0</c:v>
                </c:pt>
                <c:pt idx="119">
                  <c:v>69</c:v>
                </c:pt>
                <c:pt idx="120">
                  <c:v>0</c:v>
                </c:pt>
                <c:pt idx="121">
                  <c:v>15</c:v>
                </c:pt>
                <c:pt idx="122">
                  <c:v>82</c:v>
                </c:pt>
                <c:pt idx="123">
                  <c:v>102</c:v>
                </c:pt>
                <c:pt idx="124">
                  <c:v>100</c:v>
                </c:pt>
                <c:pt idx="125">
                  <c:v>18</c:v>
                </c:pt>
                <c:pt idx="126">
                  <c:v>0</c:v>
                </c:pt>
                <c:pt idx="127">
                  <c:v>92</c:v>
                </c:pt>
                <c:pt idx="128">
                  <c:v>0</c:v>
                </c:pt>
                <c:pt idx="129">
                  <c:v>92</c:v>
                </c:pt>
                <c:pt idx="130">
                  <c:v>67</c:v>
                </c:pt>
                <c:pt idx="131">
                  <c:v>0</c:v>
                </c:pt>
                <c:pt idx="132">
                  <c:v>92</c:v>
                </c:pt>
                <c:pt idx="133">
                  <c:v>91</c:v>
                </c:pt>
                <c:pt idx="134">
                  <c:v>53</c:v>
                </c:pt>
                <c:pt idx="135">
                  <c:v>79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98</c:v>
                </c:pt>
                <c:pt idx="141">
                  <c:v>97</c:v>
                </c:pt>
                <c:pt idx="142">
                  <c:v>79</c:v>
                </c:pt>
                <c:pt idx="143">
                  <c:v>72</c:v>
                </c:pt>
                <c:pt idx="144">
                  <c:v>77</c:v>
                </c:pt>
                <c:pt idx="145">
                  <c:v>84</c:v>
                </c:pt>
                <c:pt idx="146">
                  <c:v>0</c:v>
                </c:pt>
                <c:pt idx="147">
                  <c:v>0</c:v>
                </c:pt>
                <c:pt idx="148">
                  <c:v>90</c:v>
                </c:pt>
                <c:pt idx="149">
                  <c:v>92</c:v>
                </c:pt>
                <c:pt idx="150">
                  <c:v>0</c:v>
                </c:pt>
                <c:pt idx="151">
                  <c:v>0</c:v>
                </c:pt>
                <c:pt idx="152">
                  <c:v>50</c:v>
                </c:pt>
                <c:pt idx="153">
                  <c:v>62</c:v>
                </c:pt>
                <c:pt idx="154">
                  <c:v>75</c:v>
                </c:pt>
                <c:pt idx="155">
                  <c:v>0</c:v>
                </c:pt>
                <c:pt idx="156">
                  <c:v>115</c:v>
                </c:pt>
                <c:pt idx="157">
                  <c:v>52</c:v>
                </c:pt>
                <c:pt idx="158">
                  <c:v>102</c:v>
                </c:pt>
                <c:pt idx="159">
                  <c:v>0</c:v>
                </c:pt>
                <c:pt idx="160">
                  <c:v>70</c:v>
                </c:pt>
                <c:pt idx="161">
                  <c:v>95</c:v>
                </c:pt>
                <c:pt idx="162">
                  <c:v>111</c:v>
                </c:pt>
                <c:pt idx="163">
                  <c:v>63</c:v>
                </c:pt>
                <c:pt idx="164">
                  <c:v>103</c:v>
                </c:pt>
                <c:pt idx="165">
                  <c:v>67</c:v>
                </c:pt>
                <c:pt idx="166">
                  <c:v>54</c:v>
                </c:pt>
                <c:pt idx="167">
                  <c:v>61</c:v>
                </c:pt>
                <c:pt idx="168">
                  <c:v>0</c:v>
                </c:pt>
                <c:pt idx="169">
                  <c:v>0</c:v>
                </c:pt>
                <c:pt idx="170">
                  <c:v>98</c:v>
                </c:pt>
                <c:pt idx="171">
                  <c:v>77</c:v>
                </c:pt>
                <c:pt idx="172">
                  <c:v>77</c:v>
                </c:pt>
                <c:pt idx="173">
                  <c:v>74</c:v>
                </c:pt>
                <c:pt idx="174">
                  <c:v>0</c:v>
                </c:pt>
                <c:pt idx="175">
                  <c:v>66</c:v>
                </c:pt>
                <c:pt idx="176">
                  <c:v>59</c:v>
                </c:pt>
                <c:pt idx="177">
                  <c:v>98</c:v>
                </c:pt>
                <c:pt idx="178">
                  <c:v>73</c:v>
                </c:pt>
                <c:pt idx="179">
                  <c:v>101</c:v>
                </c:pt>
                <c:pt idx="180">
                  <c:v>100</c:v>
                </c:pt>
                <c:pt idx="181">
                  <c:v>93</c:v>
                </c:pt>
                <c:pt idx="182">
                  <c:v>62</c:v>
                </c:pt>
                <c:pt idx="183">
                  <c:v>80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67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14F-411C-8E02-4631E9C5369D}"/>
            </c:ext>
          </c:extLst>
        </c:ser>
        <c:ser>
          <c:idx val="1"/>
          <c:order val="1"/>
          <c:tx>
            <c:v>Αναδυθέντα (Emerged)</c:v>
          </c:tx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'ΑΝΑΔΥΘΕΝΤΑ-EMERGENCED'!$A$2:$A$197</c:f>
              <c:strCache>
                <c:ptCount val="194"/>
                <c:pt idx="0">
                  <c:v>1P</c:v>
                </c:pt>
                <c:pt idx="1">
                  <c:v>2P</c:v>
                </c:pt>
                <c:pt idx="2">
                  <c:v>3P</c:v>
                </c:pt>
                <c:pt idx="3">
                  <c:v>4K</c:v>
                </c:pt>
                <c:pt idx="4">
                  <c:v>5K</c:v>
                </c:pt>
                <c:pt idx="5">
                  <c:v>6P</c:v>
                </c:pt>
                <c:pt idx="6">
                  <c:v>7P</c:v>
                </c:pt>
                <c:pt idx="7">
                  <c:v>8P</c:v>
                </c:pt>
                <c:pt idx="8">
                  <c:v>9K</c:v>
                </c:pt>
                <c:pt idx="9">
                  <c:v>10P</c:v>
                </c:pt>
                <c:pt idx="10">
                  <c:v>11K</c:v>
                </c:pt>
                <c:pt idx="11">
                  <c:v>12K</c:v>
                </c:pt>
                <c:pt idx="12">
                  <c:v>13P</c:v>
                </c:pt>
                <c:pt idx="13">
                  <c:v>14K</c:v>
                </c:pt>
                <c:pt idx="14">
                  <c:v>15P</c:v>
                </c:pt>
                <c:pt idx="15">
                  <c:v>16K</c:v>
                </c:pt>
                <c:pt idx="16">
                  <c:v>17K</c:v>
                </c:pt>
                <c:pt idx="17">
                  <c:v>18P</c:v>
                </c:pt>
                <c:pt idx="18">
                  <c:v>19P</c:v>
                </c:pt>
                <c:pt idx="19">
                  <c:v>20P</c:v>
                </c:pt>
                <c:pt idx="20">
                  <c:v>21K</c:v>
                </c:pt>
                <c:pt idx="21">
                  <c:v>22K</c:v>
                </c:pt>
                <c:pt idx="22">
                  <c:v>23K</c:v>
                </c:pt>
                <c:pt idx="23">
                  <c:v>24K</c:v>
                </c:pt>
                <c:pt idx="24">
                  <c:v>25P</c:v>
                </c:pt>
                <c:pt idx="25">
                  <c:v>26P</c:v>
                </c:pt>
                <c:pt idx="26">
                  <c:v>27P</c:v>
                </c:pt>
                <c:pt idx="27">
                  <c:v>28K</c:v>
                </c:pt>
                <c:pt idx="28">
                  <c:v>29K</c:v>
                </c:pt>
                <c:pt idx="29">
                  <c:v>30K</c:v>
                </c:pt>
                <c:pt idx="30">
                  <c:v>31K</c:v>
                </c:pt>
                <c:pt idx="31">
                  <c:v>32K</c:v>
                </c:pt>
                <c:pt idx="32">
                  <c:v>33P</c:v>
                </c:pt>
                <c:pt idx="33">
                  <c:v>34K</c:v>
                </c:pt>
                <c:pt idx="34">
                  <c:v>35K</c:v>
                </c:pt>
                <c:pt idx="35">
                  <c:v>36K</c:v>
                </c:pt>
                <c:pt idx="36">
                  <c:v>37K</c:v>
                </c:pt>
                <c:pt idx="37">
                  <c:v>38P</c:v>
                </c:pt>
                <c:pt idx="38">
                  <c:v>39K</c:v>
                </c:pt>
                <c:pt idx="39">
                  <c:v>40P</c:v>
                </c:pt>
                <c:pt idx="40">
                  <c:v>41P</c:v>
                </c:pt>
                <c:pt idx="41">
                  <c:v>42K</c:v>
                </c:pt>
                <c:pt idx="42">
                  <c:v>43K</c:v>
                </c:pt>
                <c:pt idx="43">
                  <c:v>44K</c:v>
                </c:pt>
                <c:pt idx="44">
                  <c:v>45K</c:v>
                </c:pt>
                <c:pt idx="45">
                  <c:v>46K</c:v>
                </c:pt>
                <c:pt idx="46">
                  <c:v>47K</c:v>
                </c:pt>
                <c:pt idx="47">
                  <c:v>48K</c:v>
                </c:pt>
                <c:pt idx="48">
                  <c:v>49K</c:v>
                </c:pt>
                <c:pt idx="49">
                  <c:v>50K</c:v>
                </c:pt>
                <c:pt idx="50">
                  <c:v>51P</c:v>
                </c:pt>
                <c:pt idx="51">
                  <c:v>52K</c:v>
                </c:pt>
                <c:pt idx="52">
                  <c:v>53K</c:v>
                </c:pt>
                <c:pt idx="53">
                  <c:v>54K</c:v>
                </c:pt>
                <c:pt idx="54">
                  <c:v>55K</c:v>
                </c:pt>
                <c:pt idx="55">
                  <c:v>56K</c:v>
                </c:pt>
                <c:pt idx="56">
                  <c:v>57K</c:v>
                </c:pt>
                <c:pt idx="57">
                  <c:v>58K</c:v>
                </c:pt>
                <c:pt idx="58">
                  <c:v>59K</c:v>
                </c:pt>
                <c:pt idx="59">
                  <c:v>60P</c:v>
                </c:pt>
                <c:pt idx="60">
                  <c:v>61K</c:v>
                </c:pt>
                <c:pt idx="61">
                  <c:v>62K</c:v>
                </c:pt>
                <c:pt idx="62">
                  <c:v>63K</c:v>
                </c:pt>
                <c:pt idx="63">
                  <c:v>64P</c:v>
                </c:pt>
                <c:pt idx="64">
                  <c:v>65K</c:v>
                </c:pt>
                <c:pt idx="65">
                  <c:v>66P</c:v>
                </c:pt>
                <c:pt idx="66">
                  <c:v>67K</c:v>
                </c:pt>
                <c:pt idx="67">
                  <c:v>68K</c:v>
                </c:pt>
                <c:pt idx="68">
                  <c:v>69K</c:v>
                </c:pt>
                <c:pt idx="69">
                  <c:v>70P</c:v>
                </c:pt>
                <c:pt idx="70">
                  <c:v>71P</c:v>
                </c:pt>
                <c:pt idx="71">
                  <c:v>72K</c:v>
                </c:pt>
                <c:pt idx="72">
                  <c:v>73K</c:v>
                </c:pt>
                <c:pt idx="73">
                  <c:v>74K</c:v>
                </c:pt>
                <c:pt idx="74">
                  <c:v>75K</c:v>
                </c:pt>
                <c:pt idx="75">
                  <c:v>77P</c:v>
                </c:pt>
                <c:pt idx="76">
                  <c:v>78K</c:v>
                </c:pt>
                <c:pt idx="77">
                  <c:v>79P</c:v>
                </c:pt>
                <c:pt idx="78">
                  <c:v>80P</c:v>
                </c:pt>
                <c:pt idx="79">
                  <c:v>82K</c:v>
                </c:pt>
                <c:pt idx="80">
                  <c:v>85P</c:v>
                </c:pt>
                <c:pt idx="81">
                  <c:v>86K</c:v>
                </c:pt>
                <c:pt idx="82">
                  <c:v>87P</c:v>
                </c:pt>
                <c:pt idx="83">
                  <c:v>88K</c:v>
                </c:pt>
                <c:pt idx="84">
                  <c:v>89P</c:v>
                </c:pt>
                <c:pt idx="85">
                  <c:v>91K</c:v>
                </c:pt>
                <c:pt idx="86">
                  <c:v>92P</c:v>
                </c:pt>
                <c:pt idx="87">
                  <c:v>96P</c:v>
                </c:pt>
                <c:pt idx="88">
                  <c:v>97P</c:v>
                </c:pt>
                <c:pt idx="89">
                  <c:v>98P</c:v>
                </c:pt>
                <c:pt idx="90">
                  <c:v>100P</c:v>
                </c:pt>
                <c:pt idx="91">
                  <c:v>101P</c:v>
                </c:pt>
                <c:pt idx="92">
                  <c:v>102P</c:v>
                </c:pt>
                <c:pt idx="93">
                  <c:v>103K</c:v>
                </c:pt>
                <c:pt idx="94">
                  <c:v>104K</c:v>
                </c:pt>
                <c:pt idx="95">
                  <c:v>105P</c:v>
                </c:pt>
                <c:pt idx="96">
                  <c:v>106K</c:v>
                </c:pt>
                <c:pt idx="97">
                  <c:v>108K</c:v>
                </c:pt>
                <c:pt idx="98">
                  <c:v>109K</c:v>
                </c:pt>
                <c:pt idx="99">
                  <c:v>111K</c:v>
                </c:pt>
                <c:pt idx="100">
                  <c:v>113K</c:v>
                </c:pt>
                <c:pt idx="101">
                  <c:v>114P</c:v>
                </c:pt>
                <c:pt idx="102">
                  <c:v>115K</c:v>
                </c:pt>
                <c:pt idx="103">
                  <c:v>120P</c:v>
                </c:pt>
                <c:pt idx="104">
                  <c:v>121P</c:v>
                </c:pt>
                <c:pt idx="105">
                  <c:v>122K</c:v>
                </c:pt>
                <c:pt idx="106">
                  <c:v>123K</c:v>
                </c:pt>
                <c:pt idx="107">
                  <c:v>124P</c:v>
                </c:pt>
                <c:pt idx="108">
                  <c:v>125P</c:v>
                </c:pt>
                <c:pt idx="109">
                  <c:v>126K</c:v>
                </c:pt>
                <c:pt idx="110">
                  <c:v>127K</c:v>
                </c:pt>
                <c:pt idx="111">
                  <c:v>128K</c:v>
                </c:pt>
                <c:pt idx="112">
                  <c:v>129K</c:v>
                </c:pt>
                <c:pt idx="113">
                  <c:v>130P</c:v>
                </c:pt>
                <c:pt idx="114">
                  <c:v>131P</c:v>
                </c:pt>
                <c:pt idx="115">
                  <c:v>133K</c:v>
                </c:pt>
                <c:pt idx="116">
                  <c:v>135K</c:v>
                </c:pt>
                <c:pt idx="117">
                  <c:v>136K</c:v>
                </c:pt>
                <c:pt idx="118">
                  <c:v>137K</c:v>
                </c:pt>
                <c:pt idx="119">
                  <c:v>140K</c:v>
                </c:pt>
                <c:pt idx="120">
                  <c:v>141K</c:v>
                </c:pt>
                <c:pt idx="121">
                  <c:v>142P</c:v>
                </c:pt>
                <c:pt idx="122">
                  <c:v>143P</c:v>
                </c:pt>
                <c:pt idx="123">
                  <c:v>144P</c:v>
                </c:pt>
                <c:pt idx="124">
                  <c:v>145K</c:v>
                </c:pt>
                <c:pt idx="125">
                  <c:v>146K</c:v>
                </c:pt>
                <c:pt idx="126">
                  <c:v>147K</c:v>
                </c:pt>
                <c:pt idx="127">
                  <c:v>149P</c:v>
                </c:pt>
                <c:pt idx="128">
                  <c:v>150K</c:v>
                </c:pt>
                <c:pt idx="129">
                  <c:v>151P</c:v>
                </c:pt>
                <c:pt idx="130">
                  <c:v>152P</c:v>
                </c:pt>
                <c:pt idx="131">
                  <c:v>153K</c:v>
                </c:pt>
                <c:pt idx="132">
                  <c:v>154K</c:v>
                </c:pt>
                <c:pt idx="133">
                  <c:v>155P</c:v>
                </c:pt>
                <c:pt idx="134">
                  <c:v>156K</c:v>
                </c:pt>
                <c:pt idx="135">
                  <c:v>157P</c:v>
                </c:pt>
                <c:pt idx="136">
                  <c:v>158K</c:v>
                </c:pt>
                <c:pt idx="137">
                  <c:v>159P</c:v>
                </c:pt>
                <c:pt idx="138">
                  <c:v>162P</c:v>
                </c:pt>
                <c:pt idx="139">
                  <c:v>164K</c:v>
                </c:pt>
                <c:pt idx="140">
                  <c:v>165K</c:v>
                </c:pt>
                <c:pt idx="141">
                  <c:v>167K</c:v>
                </c:pt>
                <c:pt idx="142">
                  <c:v>169P</c:v>
                </c:pt>
                <c:pt idx="143">
                  <c:v>170K</c:v>
                </c:pt>
                <c:pt idx="144">
                  <c:v>173P</c:v>
                </c:pt>
                <c:pt idx="145">
                  <c:v>174P</c:v>
                </c:pt>
                <c:pt idx="146">
                  <c:v>175K</c:v>
                </c:pt>
                <c:pt idx="147">
                  <c:v>176K</c:v>
                </c:pt>
                <c:pt idx="148">
                  <c:v>177P</c:v>
                </c:pt>
                <c:pt idx="149">
                  <c:v>178K</c:v>
                </c:pt>
                <c:pt idx="150">
                  <c:v>179P</c:v>
                </c:pt>
                <c:pt idx="151">
                  <c:v>180P</c:v>
                </c:pt>
                <c:pt idx="152">
                  <c:v>182K</c:v>
                </c:pt>
                <c:pt idx="153">
                  <c:v>183K</c:v>
                </c:pt>
                <c:pt idx="154">
                  <c:v>184P</c:v>
                </c:pt>
                <c:pt idx="155">
                  <c:v>185P</c:v>
                </c:pt>
                <c:pt idx="156">
                  <c:v>187K</c:v>
                </c:pt>
                <c:pt idx="157">
                  <c:v>188K</c:v>
                </c:pt>
                <c:pt idx="158">
                  <c:v>189P</c:v>
                </c:pt>
                <c:pt idx="159">
                  <c:v>190K</c:v>
                </c:pt>
                <c:pt idx="160">
                  <c:v>191K</c:v>
                </c:pt>
                <c:pt idx="161">
                  <c:v>192K</c:v>
                </c:pt>
                <c:pt idx="162">
                  <c:v>194P</c:v>
                </c:pt>
                <c:pt idx="163">
                  <c:v>195K</c:v>
                </c:pt>
                <c:pt idx="164">
                  <c:v>196K</c:v>
                </c:pt>
                <c:pt idx="165">
                  <c:v>197P</c:v>
                </c:pt>
                <c:pt idx="166">
                  <c:v>198K</c:v>
                </c:pt>
                <c:pt idx="167">
                  <c:v>199K</c:v>
                </c:pt>
                <c:pt idx="168">
                  <c:v>200P</c:v>
                </c:pt>
                <c:pt idx="169">
                  <c:v>201K</c:v>
                </c:pt>
                <c:pt idx="170">
                  <c:v>203K</c:v>
                </c:pt>
                <c:pt idx="171">
                  <c:v>206K</c:v>
                </c:pt>
                <c:pt idx="172">
                  <c:v>207K</c:v>
                </c:pt>
                <c:pt idx="173">
                  <c:v>208K</c:v>
                </c:pt>
                <c:pt idx="174">
                  <c:v>209P</c:v>
                </c:pt>
                <c:pt idx="175">
                  <c:v>210K</c:v>
                </c:pt>
                <c:pt idx="176">
                  <c:v>211K</c:v>
                </c:pt>
                <c:pt idx="177">
                  <c:v>212P</c:v>
                </c:pt>
                <c:pt idx="178">
                  <c:v>213P</c:v>
                </c:pt>
                <c:pt idx="179">
                  <c:v>214K</c:v>
                </c:pt>
                <c:pt idx="180">
                  <c:v>215K</c:v>
                </c:pt>
                <c:pt idx="181">
                  <c:v>218K</c:v>
                </c:pt>
                <c:pt idx="182">
                  <c:v>219K</c:v>
                </c:pt>
                <c:pt idx="183">
                  <c:v>220K</c:v>
                </c:pt>
                <c:pt idx="184">
                  <c:v>223K</c:v>
                </c:pt>
                <c:pt idx="185">
                  <c:v>227K</c:v>
                </c:pt>
                <c:pt idx="186">
                  <c:v>228P</c:v>
                </c:pt>
                <c:pt idx="187">
                  <c:v>229K</c:v>
                </c:pt>
                <c:pt idx="188">
                  <c:v>230K</c:v>
                </c:pt>
                <c:pt idx="189">
                  <c:v>231K</c:v>
                </c:pt>
                <c:pt idx="190">
                  <c:v>232K</c:v>
                </c:pt>
                <c:pt idx="191">
                  <c:v>233K</c:v>
                </c:pt>
                <c:pt idx="192">
                  <c:v>234K</c:v>
                </c:pt>
                <c:pt idx="193">
                  <c:v>235K</c:v>
                </c:pt>
              </c:strCache>
            </c:strRef>
          </c:cat>
          <c:val>
            <c:numRef>
              <c:f>'ΑΝΑΔΥΘΕΝΤΑ-EMERGENCED'!$C$2:$C$197</c:f>
              <c:numCache>
                <c:formatCode>General</c:formatCode>
                <c:ptCount val="196"/>
                <c:pt idx="0">
                  <c:v>68</c:v>
                </c:pt>
                <c:pt idx="1">
                  <c:v>92</c:v>
                </c:pt>
                <c:pt idx="2">
                  <c:v>0</c:v>
                </c:pt>
                <c:pt idx="3">
                  <c:v>0</c:v>
                </c:pt>
                <c:pt idx="4">
                  <c:v>76</c:v>
                </c:pt>
                <c:pt idx="5">
                  <c:v>26</c:v>
                </c:pt>
                <c:pt idx="6">
                  <c:v>111</c:v>
                </c:pt>
                <c:pt idx="7">
                  <c:v>43</c:v>
                </c:pt>
                <c:pt idx="8">
                  <c:v>28</c:v>
                </c:pt>
                <c:pt idx="9">
                  <c:v>88</c:v>
                </c:pt>
                <c:pt idx="10">
                  <c:v>0</c:v>
                </c:pt>
                <c:pt idx="11">
                  <c:v>108</c:v>
                </c:pt>
                <c:pt idx="12">
                  <c:v>70</c:v>
                </c:pt>
                <c:pt idx="13">
                  <c:v>110</c:v>
                </c:pt>
                <c:pt idx="14">
                  <c:v>45</c:v>
                </c:pt>
                <c:pt idx="15">
                  <c:v>95</c:v>
                </c:pt>
                <c:pt idx="16">
                  <c:v>44</c:v>
                </c:pt>
                <c:pt idx="17">
                  <c:v>145</c:v>
                </c:pt>
                <c:pt idx="18">
                  <c:v>145</c:v>
                </c:pt>
                <c:pt idx="19">
                  <c:v>99</c:v>
                </c:pt>
                <c:pt idx="20">
                  <c:v>98</c:v>
                </c:pt>
                <c:pt idx="21">
                  <c:v>54</c:v>
                </c:pt>
                <c:pt idx="22">
                  <c:v>0</c:v>
                </c:pt>
                <c:pt idx="23">
                  <c:v>118</c:v>
                </c:pt>
                <c:pt idx="24">
                  <c:v>82</c:v>
                </c:pt>
                <c:pt idx="25">
                  <c:v>115</c:v>
                </c:pt>
                <c:pt idx="26">
                  <c:v>86</c:v>
                </c:pt>
                <c:pt idx="27">
                  <c:v>65</c:v>
                </c:pt>
                <c:pt idx="28">
                  <c:v>32</c:v>
                </c:pt>
                <c:pt idx="29">
                  <c:v>0</c:v>
                </c:pt>
                <c:pt idx="30">
                  <c:v>90</c:v>
                </c:pt>
                <c:pt idx="31">
                  <c:v>90</c:v>
                </c:pt>
                <c:pt idx="32">
                  <c:v>77</c:v>
                </c:pt>
                <c:pt idx="33">
                  <c:v>59</c:v>
                </c:pt>
                <c:pt idx="34">
                  <c:v>0</c:v>
                </c:pt>
                <c:pt idx="35">
                  <c:v>0</c:v>
                </c:pt>
                <c:pt idx="36">
                  <c:v>94</c:v>
                </c:pt>
                <c:pt idx="37">
                  <c:v>0</c:v>
                </c:pt>
                <c:pt idx="38">
                  <c:v>0</c:v>
                </c:pt>
                <c:pt idx="39">
                  <c:v>62</c:v>
                </c:pt>
                <c:pt idx="40">
                  <c:v>63</c:v>
                </c:pt>
                <c:pt idx="41">
                  <c:v>0</c:v>
                </c:pt>
                <c:pt idx="42">
                  <c:v>0</c:v>
                </c:pt>
                <c:pt idx="43">
                  <c:v>53</c:v>
                </c:pt>
                <c:pt idx="44">
                  <c:v>105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79</c:v>
                </c:pt>
                <c:pt idx="49">
                  <c:v>32</c:v>
                </c:pt>
                <c:pt idx="50">
                  <c:v>0</c:v>
                </c:pt>
                <c:pt idx="51">
                  <c:v>0</c:v>
                </c:pt>
                <c:pt idx="52">
                  <c:v>77</c:v>
                </c:pt>
                <c:pt idx="53">
                  <c:v>124</c:v>
                </c:pt>
                <c:pt idx="54">
                  <c:v>0</c:v>
                </c:pt>
                <c:pt idx="55">
                  <c:v>63</c:v>
                </c:pt>
                <c:pt idx="56">
                  <c:v>108</c:v>
                </c:pt>
                <c:pt idx="57">
                  <c:v>90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91</c:v>
                </c:pt>
                <c:pt idx="63">
                  <c:v>70</c:v>
                </c:pt>
                <c:pt idx="64">
                  <c:v>23</c:v>
                </c:pt>
                <c:pt idx="65">
                  <c:v>94</c:v>
                </c:pt>
                <c:pt idx="66">
                  <c:v>79</c:v>
                </c:pt>
                <c:pt idx="67">
                  <c:v>94</c:v>
                </c:pt>
                <c:pt idx="68">
                  <c:v>67</c:v>
                </c:pt>
                <c:pt idx="69">
                  <c:v>100</c:v>
                </c:pt>
                <c:pt idx="70">
                  <c:v>88</c:v>
                </c:pt>
                <c:pt idx="71">
                  <c:v>114</c:v>
                </c:pt>
                <c:pt idx="72">
                  <c:v>33</c:v>
                </c:pt>
                <c:pt idx="73">
                  <c:v>0</c:v>
                </c:pt>
                <c:pt idx="74">
                  <c:v>50</c:v>
                </c:pt>
                <c:pt idx="75">
                  <c:v>0</c:v>
                </c:pt>
                <c:pt idx="76">
                  <c:v>59</c:v>
                </c:pt>
                <c:pt idx="77">
                  <c:v>88</c:v>
                </c:pt>
                <c:pt idx="78">
                  <c:v>0</c:v>
                </c:pt>
                <c:pt idx="79">
                  <c:v>0</c:v>
                </c:pt>
                <c:pt idx="80">
                  <c:v>92</c:v>
                </c:pt>
                <c:pt idx="81">
                  <c:v>71</c:v>
                </c:pt>
                <c:pt idx="82">
                  <c:v>68</c:v>
                </c:pt>
                <c:pt idx="83">
                  <c:v>0</c:v>
                </c:pt>
                <c:pt idx="84">
                  <c:v>0</c:v>
                </c:pt>
                <c:pt idx="85">
                  <c:v>89</c:v>
                </c:pt>
                <c:pt idx="86">
                  <c:v>0</c:v>
                </c:pt>
                <c:pt idx="87">
                  <c:v>11</c:v>
                </c:pt>
                <c:pt idx="88">
                  <c:v>70</c:v>
                </c:pt>
                <c:pt idx="89">
                  <c:v>94</c:v>
                </c:pt>
                <c:pt idx="90">
                  <c:v>87</c:v>
                </c:pt>
                <c:pt idx="91">
                  <c:v>0</c:v>
                </c:pt>
                <c:pt idx="92">
                  <c:v>0</c:v>
                </c:pt>
                <c:pt idx="93">
                  <c:v>49</c:v>
                </c:pt>
                <c:pt idx="94">
                  <c:v>0</c:v>
                </c:pt>
                <c:pt idx="95">
                  <c:v>0</c:v>
                </c:pt>
                <c:pt idx="96">
                  <c:v>97</c:v>
                </c:pt>
                <c:pt idx="97">
                  <c:v>25</c:v>
                </c:pt>
                <c:pt idx="98">
                  <c:v>0</c:v>
                </c:pt>
                <c:pt idx="99">
                  <c:v>38</c:v>
                </c:pt>
                <c:pt idx="100">
                  <c:v>0</c:v>
                </c:pt>
                <c:pt idx="101">
                  <c:v>68</c:v>
                </c:pt>
                <c:pt idx="102">
                  <c:v>0</c:v>
                </c:pt>
                <c:pt idx="103">
                  <c:v>80</c:v>
                </c:pt>
                <c:pt idx="104">
                  <c:v>0</c:v>
                </c:pt>
                <c:pt idx="105">
                  <c:v>0</c:v>
                </c:pt>
                <c:pt idx="106">
                  <c:v>79</c:v>
                </c:pt>
                <c:pt idx="107">
                  <c:v>0</c:v>
                </c:pt>
                <c:pt idx="108">
                  <c:v>83</c:v>
                </c:pt>
                <c:pt idx="109">
                  <c:v>89</c:v>
                </c:pt>
                <c:pt idx="110">
                  <c:v>102</c:v>
                </c:pt>
                <c:pt idx="111">
                  <c:v>64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70</c:v>
                </c:pt>
                <c:pt idx="116">
                  <c:v>0</c:v>
                </c:pt>
                <c:pt idx="117">
                  <c:v>83</c:v>
                </c:pt>
                <c:pt idx="118">
                  <c:v>0</c:v>
                </c:pt>
                <c:pt idx="119">
                  <c:v>63</c:v>
                </c:pt>
                <c:pt idx="120">
                  <c:v>0</c:v>
                </c:pt>
                <c:pt idx="121">
                  <c:v>0</c:v>
                </c:pt>
                <c:pt idx="122">
                  <c:v>72</c:v>
                </c:pt>
                <c:pt idx="123">
                  <c:v>92</c:v>
                </c:pt>
                <c:pt idx="124">
                  <c:v>92</c:v>
                </c:pt>
                <c:pt idx="125">
                  <c:v>0</c:v>
                </c:pt>
                <c:pt idx="126">
                  <c:v>0</c:v>
                </c:pt>
                <c:pt idx="127">
                  <c:v>79</c:v>
                </c:pt>
                <c:pt idx="128">
                  <c:v>0</c:v>
                </c:pt>
                <c:pt idx="129">
                  <c:v>50</c:v>
                </c:pt>
                <c:pt idx="130">
                  <c:v>66</c:v>
                </c:pt>
                <c:pt idx="131">
                  <c:v>0</c:v>
                </c:pt>
                <c:pt idx="132">
                  <c:v>81</c:v>
                </c:pt>
                <c:pt idx="133">
                  <c:v>90</c:v>
                </c:pt>
                <c:pt idx="134">
                  <c:v>46</c:v>
                </c:pt>
                <c:pt idx="135">
                  <c:v>78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96</c:v>
                </c:pt>
                <c:pt idx="141">
                  <c:v>70</c:v>
                </c:pt>
                <c:pt idx="142">
                  <c:v>77</c:v>
                </c:pt>
                <c:pt idx="143">
                  <c:v>68</c:v>
                </c:pt>
                <c:pt idx="144">
                  <c:v>70</c:v>
                </c:pt>
                <c:pt idx="145">
                  <c:v>74</c:v>
                </c:pt>
                <c:pt idx="146">
                  <c:v>0</c:v>
                </c:pt>
                <c:pt idx="147">
                  <c:v>0</c:v>
                </c:pt>
                <c:pt idx="148">
                  <c:v>71</c:v>
                </c:pt>
                <c:pt idx="149">
                  <c:v>85</c:v>
                </c:pt>
                <c:pt idx="150">
                  <c:v>0</c:v>
                </c:pt>
                <c:pt idx="151">
                  <c:v>0</c:v>
                </c:pt>
                <c:pt idx="152">
                  <c:v>48</c:v>
                </c:pt>
                <c:pt idx="153">
                  <c:v>26</c:v>
                </c:pt>
                <c:pt idx="154">
                  <c:v>67</c:v>
                </c:pt>
                <c:pt idx="155">
                  <c:v>0</c:v>
                </c:pt>
                <c:pt idx="156">
                  <c:v>105</c:v>
                </c:pt>
                <c:pt idx="157">
                  <c:v>47</c:v>
                </c:pt>
                <c:pt idx="158">
                  <c:v>76</c:v>
                </c:pt>
                <c:pt idx="159">
                  <c:v>0</c:v>
                </c:pt>
                <c:pt idx="160">
                  <c:v>64</c:v>
                </c:pt>
                <c:pt idx="161">
                  <c:v>84</c:v>
                </c:pt>
                <c:pt idx="162">
                  <c:v>110</c:v>
                </c:pt>
                <c:pt idx="163">
                  <c:v>58</c:v>
                </c:pt>
                <c:pt idx="164">
                  <c:v>97</c:v>
                </c:pt>
                <c:pt idx="165">
                  <c:v>53</c:v>
                </c:pt>
                <c:pt idx="166">
                  <c:v>49</c:v>
                </c:pt>
                <c:pt idx="167">
                  <c:v>22</c:v>
                </c:pt>
                <c:pt idx="168">
                  <c:v>0</c:v>
                </c:pt>
                <c:pt idx="169">
                  <c:v>0</c:v>
                </c:pt>
                <c:pt idx="170">
                  <c:v>59</c:v>
                </c:pt>
                <c:pt idx="171">
                  <c:v>73</c:v>
                </c:pt>
                <c:pt idx="172">
                  <c:v>70</c:v>
                </c:pt>
                <c:pt idx="173">
                  <c:v>71</c:v>
                </c:pt>
                <c:pt idx="174">
                  <c:v>0</c:v>
                </c:pt>
                <c:pt idx="175">
                  <c:v>65</c:v>
                </c:pt>
                <c:pt idx="176">
                  <c:v>52</c:v>
                </c:pt>
                <c:pt idx="177">
                  <c:v>96</c:v>
                </c:pt>
                <c:pt idx="178">
                  <c:v>56</c:v>
                </c:pt>
                <c:pt idx="179">
                  <c:v>95</c:v>
                </c:pt>
                <c:pt idx="180">
                  <c:v>99</c:v>
                </c:pt>
                <c:pt idx="181">
                  <c:v>92</c:v>
                </c:pt>
                <c:pt idx="182">
                  <c:v>0</c:v>
                </c:pt>
                <c:pt idx="183">
                  <c:v>78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56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14F-411C-8E02-4631E9C53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713236"/>
        <c:axId val="2090672698"/>
      </c:barChart>
      <c:catAx>
        <c:axId val="6377132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Φωλιές / 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Nest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2090672698"/>
        <c:crosses val="autoZero"/>
        <c:auto val="1"/>
        <c:lblAlgn val="ctr"/>
        <c:lblOffset val="100"/>
        <c:noMultiLvlLbl val="1"/>
      </c:catAx>
      <c:valAx>
        <c:axId val="20906726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l-GR" sz="1100" b="0" i="0">
                    <a:solidFill>
                      <a:srgbClr val="000000"/>
                    </a:solidFill>
                    <a:latin typeface="+mn-lt"/>
                  </a:rPr>
                  <a:t>Αριθμός  αυγών / </a:t>
                </a:r>
                <a:r>
                  <a:rPr lang="fr-FR" sz="1100" b="0" i="0">
                    <a:solidFill>
                      <a:srgbClr val="000000"/>
                    </a:solidFill>
                    <a:latin typeface="+mn-lt"/>
                  </a:rPr>
                  <a:t>Eggs number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l-GR"/>
          </a:p>
        </c:txPr>
        <c:crossAx val="6377132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39773058670699"/>
          <c:y val="1.5997250343707043E-2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l-GR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361950</xdr:colOff>
      <xdr:row>0</xdr:row>
      <xdr:rowOff>9525</xdr:rowOff>
    </xdr:from>
    <xdr:ext cx="6867525" cy="3143250"/>
    <xdr:graphicFrame macro="">
      <xdr:nvGraphicFramePr>
        <xdr:cNvPr id="688717016" name="Chart 1" descr="Chart 0" title="Graphique">
          <a:extLst>
            <a:ext uri="{FF2B5EF4-FFF2-40B4-BE49-F238E27FC236}">
              <a16:creationId xmlns:a16="http://schemas.microsoft.com/office/drawing/2014/main" id="{00000000-0008-0000-0300-0000D8FC0C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361950</xdr:colOff>
      <xdr:row>14</xdr:row>
      <xdr:rowOff>38100</xdr:rowOff>
    </xdr:from>
    <xdr:ext cx="6867525" cy="3143250"/>
    <xdr:graphicFrame macro="">
      <xdr:nvGraphicFramePr>
        <xdr:cNvPr id="1312592390" name="Chart 2" title="Graphique">
          <a:extLst>
            <a:ext uri="{FF2B5EF4-FFF2-40B4-BE49-F238E27FC236}">
              <a16:creationId xmlns:a16="http://schemas.microsoft.com/office/drawing/2014/main" id="{00000000-0008-0000-0300-000006923C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361950</xdr:colOff>
      <xdr:row>31</xdr:row>
      <xdr:rowOff>171450</xdr:rowOff>
    </xdr:from>
    <xdr:ext cx="6867525" cy="3143250"/>
    <xdr:graphicFrame macro="">
      <xdr:nvGraphicFramePr>
        <xdr:cNvPr id="908749735" name="Chart 3" title="Graphique">
          <a:extLst>
            <a:ext uri="{FF2B5EF4-FFF2-40B4-BE49-F238E27FC236}">
              <a16:creationId xmlns:a16="http://schemas.microsoft.com/office/drawing/2014/main" id="{00000000-0008-0000-0300-0000A76B2A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533400</xdr:colOff>
      <xdr:row>0</xdr:row>
      <xdr:rowOff>0</xdr:rowOff>
    </xdr:from>
    <xdr:ext cx="10534650" cy="3781425"/>
    <xdr:graphicFrame macro="">
      <xdr:nvGraphicFramePr>
        <xdr:cNvPr id="2034463034" name="Chart 15" descr="Chart 0" title="Graphique">
          <a:extLst>
            <a:ext uri="{FF2B5EF4-FFF2-40B4-BE49-F238E27FC236}">
              <a16:creationId xmlns:a16="http://schemas.microsoft.com/office/drawing/2014/main" id="{00000000-0008-0000-0D00-00003A7143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47625</xdr:rowOff>
    </xdr:from>
    <xdr:ext cx="3943350" cy="2695575"/>
    <xdr:graphicFrame macro="">
      <xdr:nvGraphicFramePr>
        <xdr:cNvPr id="2008177293" name="Chart 16" descr="Chart 0" title="Graphique">
          <a:extLst>
            <a:ext uri="{FF2B5EF4-FFF2-40B4-BE49-F238E27FC236}">
              <a16:creationId xmlns:a16="http://schemas.microsoft.com/office/drawing/2014/main" id="{00000000-0008-0000-0E00-00008D5AB2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209550</xdr:colOff>
      <xdr:row>16</xdr:row>
      <xdr:rowOff>0</xdr:rowOff>
    </xdr:from>
    <xdr:ext cx="3981450" cy="2676525"/>
    <xdr:graphicFrame macro="">
      <xdr:nvGraphicFramePr>
        <xdr:cNvPr id="911954692" name="Chart 17" descr="Chart 1" title="Graphique">
          <a:extLst>
            <a:ext uri="{FF2B5EF4-FFF2-40B4-BE49-F238E27FC236}">
              <a16:creationId xmlns:a16="http://schemas.microsoft.com/office/drawing/2014/main" id="{00000000-0008-0000-0E00-000004535B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323850</xdr:colOff>
      <xdr:row>2</xdr:row>
      <xdr:rowOff>114300</xdr:rowOff>
    </xdr:from>
    <xdr:ext cx="18945225" cy="5067300"/>
    <xdr:graphicFrame macro="">
      <xdr:nvGraphicFramePr>
        <xdr:cNvPr id="194724790" name="Chart 4" descr="Chart 0" title="Graphique">
          <a:extLst>
            <a:ext uri="{FF2B5EF4-FFF2-40B4-BE49-F238E27FC236}">
              <a16:creationId xmlns:a16="http://schemas.microsoft.com/office/drawing/2014/main" id="{00000000-0008-0000-0400-0000B6439B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314325</xdr:colOff>
      <xdr:row>14</xdr:row>
      <xdr:rowOff>133350</xdr:rowOff>
    </xdr:from>
    <xdr:ext cx="12954000" cy="2847975"/>
    <xdr:graphicFrame macro="">
      <xdr:nvGraphicFramePr>
        <xdr:cNvPr id="2009094225" name="Chart 5" descr="Chart 0" title="Graphique">
          <a:extLst>
            <a:ext uri="{FF2B5EF4-FFF2-40B4-BE49-F238E27FC236}">
              <a16:creationId xmlns:a16="http://schemas.microsoft.com/office/drawing/2014/main" id="{00000000-0008-0000-0500-00005158C0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523875</xdr:colOff>
      <xdr:row>0</xdr:row>
      <xdr:rowOff>1447800</xdr:rowOff>
    </xdr:from>
    <xdr:ext cx="14087475" cy="4486275"/>
    <xdr:graphicFrame macro="">
      <xdr:nvGraphicFramePr>
        <xdr:cNvPr id="1360575130" name="Chart 6" descr="Chart 0" title="Graphique">
          <a:extLst>
            <a:ext uri="{FF2B5EF4-FFF2-40B4-BE49-F238E27FC236}">
              <a16:creationId xmlns:a16="http://schemas.microsoft.com/office/drawing/2014/main" id="{00000000-0008-0000-0600-00009ABA18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2</xdr:row>
      <xdr:rowOff>114300</xdr:rowOff>
    </xdr:from>
    <xdr:ext cx="12001500" cy="3829050"/>
    <xdr:graphicFrame macro="">
      <xdr:nvGraphicFramePr>
        <xdr:cNvPr id="2045544411" name="Chart 7" descr="Chart 0" title="Graphique">
          <a:extLst>
            <a:ext uri="{FF2B5EF4-FFF2-40B4-BE49-F238E27FC236}">
              <a16:creationId xmlns:a16="http://schemas.microsoft.com/office/drawing/2014/main" id="{00000000-0008-0000-0700-0000DB87E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285750</xdr:colOff>
      <xdr:row>0</xdr:row>
      <xdr:rowOff>314325</xdr:rowOff>
    </xdr:from>
    <xdr:ext cx="16021050" cy="6334125"/>
    <xdr:graphicFrame macro="">
      <xdr:nvGraphicFramePr>
        <xdr:cNvPr id="378451778" name="Chart 8" descr="Chart 0" title="Graphique">
          <a:extLst>
            <a:ext uri="{FF2B5EF4-FFF2-40B4-BE49-F238E27FC236}">
              <a16:creationId xmlns:a16="http://schemas.microsoft.com/office/drawing/2014/main" id="{00000000-0008-0000-0800-000042B78E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0</xdr:row>
      <xdr:rowOff>1076325</xdr:rowOff>
    </xdr:from>
    <xdr:ext cx="14144625" cy="4000500"/>
    <xdr:graphicFrame macro="">
      <xdr:nvGraphicFramePr>
        <xdr:cNvPr id="902899263" name="Chart 9" descr="Chart 0" title="Graphique">
          <a:extLst>
            <a:ext uri="{FF2B5EF4-FFF2-40B4-BE49-F238E27FC236}">
              <a16:creationId xmlns:a16="http://schemas.microsoft.com/office/drawing/2014/main" id="{00000000-0008-0000-0900-00003F26D1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514350</xdr:colOff>
      <xdr:row>1</xdr:row>
      <xdr:rowOff>38100</xdr:rowOff>
    </xdr:from>
    <xdr:ext cx="7219950" cy="4133850"/>
    <xdr:graphicFrame macro="">
      <xdr:nvGraphicFramePr>
        <xdr:cNvPr id="712547717" name="Chart 10" descr="Chart 0" title="Graphique">
          <a:extLst>
            <a:ext uri="{FF2B5EF4-FFF2-40B4-BE49-F238E27FC236}">
              <a16:creationId xmlns:a16="http://schemas.microsoft.com/office/drawing/2014/main" id="{00000000-0008-0000-0A00-0000859D78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533400</xdr:colOff>
      <xdr:row>16</xdr:row>
      <xdr:rowOff>76200</xdr:rowOff>
    </xdr:from>
    <xdr:ext cx="6000750" cy="3362325"/>
    <xdr:graphicFrame macro="">
      <xdr:nvGraphicFramePr>
        <xdr:cNvPr id="853798683" name="Chart 11" descr="Chart 1" title="Graphique">
          <a:extLst>
            <a:ext uri="{FF2B5EF4-FFF2-40B4-BE49-F238E27FC236}">
              <a16:creationId xmlns:a16="http://schemas.microsoft.com/office/drawing/2014/main" id="{00000000-0008-0000-0A00-00001BEFE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3</xdr:col>
      <xdr:colOff>371475</xdr:colOff>
      <xdr:row>36</xdr:row>
      <xdr:rowOff>171450</xdr:rowOff>
    </xdr:from>
    <xdr:ext cx="6010275" cy="4210050"/>
    <xdr:graphicFrame macro="">
      <xdr:nvGraphicFramePr>
        <xdr:cNvPr id="545339724" name="Chart 12" descr="Chart 2" title="Graphique">
          <a:extLst>
            <a:ext uri="{FF2B5EF4-FFF2-40B4-BE49-F238E27FC236}">
              <a16:creationId xmlns:a16="http://schemas.microsoft.com/office/drawing/2014/main" id="{00000000-0008-0000-0A00-00004C3981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3</xdr:col>
      <xdr:colOff>333375</xdr:colOff>
      <xdr:row>56</xdr:row>
      <xdr:rowOff>171450</xdr:rowOff>
    </xdr:from>
    <xdr:ext cx="6096000" cy="3619500"/>
    <xdr:graphicFrame macro="">
      <xdr:nvGraphicFramePr>
        <xdr:cNvPr id="324819132" name="Chart 13" descr="Chart 3" title="Graphique">
          <a:extLst>
            <a:ext uri="{FF2B5EF4-FFF2-40B4-BE49-F238E27FC236}">
              <a16:creationId xmlns:a16="http://schemas.microsoft.com/office/drawing/2014/main" id="{00000000-0008-0000-0A00-0000BC585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581025</xdr:colOff>
      <xdr:row>0</xdr:row>
      <xdr:rowOff>0</xdr:rowOff>
    </xdr:from>
    <xdr:ext cx="5934075" cy="8172450"/>
    <xdr:graphicFrame macro="">
      <xdr:nvGraphicFramePr>
        <xdr:cNvPr id="340384244" name="Chart 14" descr="Chart 0" title="Graphique">
          <a:extLst>
            <a:ext uri="{FF2B5EF4-FFF2-40B4-BE49-F238E27FC236}">
              <a16:creationId xmlns:a16="http://schemas.microsoft.com/office/drawing/2014/main" id="{00000000-0008-0000-0C00-0000F4D94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70C0"/>
  </sheetPr>
  <dimension ref="A1:CC998"/>
  <sheetViews>
    <sheetView tabSelected="1" topLeftCell="AJ231" workbookViewId="0">
      <selection activeCell="AQ238" sqref="AQ238"/>
    </sheetView>
  </sheetViews>
  <sheetFormatPr defaultColWidth="14.42578125" defaultRowHeight="15" customHeight="1" outlineLevelCol="1" x14ac:dyDescent="0.25"/>
  <cols>
    <col min="1" max="1" width="9.140625" customWidth="1"/>
    <col min="2" max="2" width="7.28515625" customWidth="1"/>
    <col min="3" max="3" width="13" customWidth="1"/>
    <col min="4" max="4" width="8.42578125" customWidth="1"/>
    <col min="5" max="5" width="8.140625" customWidth="1"/>
    <col min="6" max="6" width="14.28515625" customWidth="1"/>
    <col min="7" max="7" width="11.42578125" customWidth="1" outlineLevel="1"/>
    <col min="8" max="8" width="11.7109375" customWidth="1" outlineLevel="1"/>
    <col min="9" max="10" width="9.140625" customWidth="1" outlineLevel="1"/>
    <col min="11" max="11" width="11" customWidth="1" outlineLevel="1"/>
    <col min="12" max="12" width="10.7109375" customWidth="1" outlineLevel="1"/>
    <col min="13" max="13" width="8.28515625" customWidth="1" outlineLevel="1"/>
    <col min="14" max="14" width="10" customWidth="1" outlineLevel="1"/>
    <col min="15" max="15" width="10.85546875" customWidth="1" outlineLevel="1"/>
    <col min="16" max="16" width="11.42578125" customWidth="1" outlineLevel="1"/>
    <col min="17" max="17" width="14" customWidth="1" outlineLevel="1"/>
    <col min="18" max="18" width="15.28515625" customWidth="1" outlineLevel="1"/>
    <col min="19" max="19" width="11.85546875" customWidth="1" outlineLevel="1"/>
    <col min="20" max="20" width="10.5703125" customWidth="1" outlineLevel="1"/>
    <col min="21" max="21" width="11" customWidth="1" outlineLevel="1"/>
    <col min="22" max="22" width="11.5703125" customWidth="1" outlineLevel="1"/>
    <col min="23" max="23" width="13.7109375" customWidth="1" outlineLevel="1"/>
    <col min="24" max="24" width="11.7109375" customWidth="1" outlineLevel="1"/>
    <col min="25" max="25" width="14.42578125" outlineLevel="1"/>
    <col min="26" max="32" width="13.140625" customWidth="1" outlineLevel="1"/>
    <col min="33" max="33" width="15" customWidth="1" outlineLevel="1"/>
    <col min="34" max="34" width="11.5703125" customWidth="1" outlineLevel="1"/>
    <col min="35" max="35" width="16.28515625" customWidth="1" outlineLevel="1"/>
    <col min="36" max="38" width="14.85546875" customWidth="1" outlineLevel="1"/>
    <col min="39" max="39" width="15.42578125" customWidth="1"/>
    <col min="40" max="40" width="23.7109375" customWidth="1"/>
    <col min="41" max="41" width="16.28515625" customWidth="1"/>
    <col min="42" max="42" width="15.140625" customWidth="1"/>
    <col min="43" max="43" width="16.7109375" customWidth="1"/>
    <col min="44" max="44" width="17.5703125" customWidth="1"/>
    <col min="45" max="45" width="15.7109375" customWidth="1"/>
    <col min="46" max="46" width="19.7109375" customWidth="1"/>
    <col min="47" max="48" width="18.7109375" customWidth="1"/>
    <col min="49" max="49" width="20.7109375" customWidth="1"/>
    <col min="50" max="50" width="19.140625" customWidth="1"/>
    <col min="51" max="51" width="15.7109375" customWidth="1"/>
    <col min="52" max="52" width="20.5703125" customWidth="1"/>
    <col min="53" max="53" width="19.140625" customWidth="1"/>
    <col min="54" max="54" width="15.85546875" customWidth="1"/>
    <col min="55" max="55" width="21.5703125" customWidth="1"/>
    <col min="56" max="56" width="18.28515625" customWidth="1"/>
    <col min="57" max="57" width="15.42578125" customWidth="1"/>
    <col min="58" max="58" width="21" customWidth="1"/>
    <col min="59" max="59" width="19.140625" customWidth="1"/>
    <col min="60" max="60" width="16.5703125" customWidth="1"/>
    <col min="61" max="61" width="21.42578125" customWidth="1"/>
    <col min="62" max="62" width="17.7109375" customWidth="1"/>
    <col min="63" max="63" width="20.7109375" customWidth="1"/>
    <col min="64" max="64" width="17.85546875" customWidth="1"/>
    <col min="65" max="65" width="15.42578125" customWidth="1"/>
    <col min="66" max="66" width="22.28515625" customWidth="1"/>
    <col min="67" max="67" width="17.140625" customWidth="1"/>
    <col min="68" max="68" width="16.42578125" customWidth="1"/>
    <col min="69" max="81" width="9.140625" customWidth="1"/>
  </cols>
  <sheetData>
    <row r="1" spans="1:81" ht="18" customHeight="1" x14ac:dyDescent="0.25">
      <c r="A1" s="1"/>
      <c r="B1" s="1"/>
      <c r="C1" s="2">
        <v>1</v>
      </c>
      <c r="D1" s="219" t="s">
        <v>0</v>
      </c>
      <c r="E1" s="2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3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1:81" ht="18" customHeight="1" x14ac:dyDescent="0.25">
      <c r="A2" s="1"/>
      <c r="B2" s="1"/>
      <c r="C2" s="5">
        <v>41</v>
      </c>
      <c r="D2" s="219" t="s">
        <v>1</v>
      </c>
      <c r="E2" s="2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3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81" ht="18" customHeight="1" x14ac:dyDescent="0.25">
      <c r="A3" s="1"/>
      <c r="B3" s="1"/>
      <c r="C3" s="6">
        <v>194</v>
      </c>
      <c r="D3" s="219" t="s">
        <v>2</v>
      </c>
      <c r="E3" s="2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3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81" ht="8.25" customHeight="1" x14ac:dyDescent="0.25">
      <c r="A4" s="1"/>
      <c r="B4" s="1"/>
      <c r="C4" s="1"/>
      <c r="D4" s="7"/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3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81" ht="18" customHeight="1" x14ac:dyDescent="0.25">
      <c r="A5" s="221" t="s">
        <v>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6"/>
      <c r="AK5" s="9"/>
      <c r="AL5" s="9"/>
      <c r="AM5" s="10"/>
      <c r="AN5" s="222" t="s">
        <v>4</v>
      </c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6"/>
      <c r="BJ5" s="10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ht="18" customHeight="1" x14ac:dyDescent="0.25">
      <c r="A6" s="204" t="s">
        <v>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1"/>
      <c r="AL6" s="11"/>
      <c r="AM6" s="10"/>
      <c r="AN6" s="207" t="s">
        <v>6</v>
      </c>
      <c r="AO6" s="205"/>
      <c r="AP6" s="205"/>
      <c r="AQ6" s="205"/>
      <c r="AR6" s="206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0"/>
      <c r="BJ6" s="10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ht="39" customHeight="1" x14ac:dyDescent="0.25">
      <c r="A7" s="213"/>
      <c r="B7" s="206"/>
      <c r="C7" s="12"/>
      <c r="D7" s="207"/>
      <c r="E7" s="206"/>
      <c r="F7" s="13"/>
      <c r="G7" s="12"/>
      <c r="H7" s="12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214" t="s">
        <v>7</v>
      </c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6"/>
      <c r="AK7" s="14"/>
      <c r="AL7" s="14"/>
      <c r="AM7" s="10"/>
      <c r="AN7" s="15"/>
      <c r="AO7" s="16"/>
      <c r="AP7" s="17"/>
      <c r="AQ7" s="18"/>
      <c r="AR7" s="19"/>
      <c r="AS7" s="13"/>
      <c r="AT7" s="18"/>
      <c r="AU7" s="12"/>
      <c r="AV7" s="20"/>
      <c r="AW7" s="21"/>
      <c r="AX7" s="21"/>
      <c r="AY7" s="20"/>
      <c r="AZ7" s="21"/>
      <c r="BA7" s="12"/>
      <c r="BB7" s="13"/>
      <c r="BC7" s="12"/>
      <c r="BD7" s="12"/>
      <c r="BE7" s="13"/>
      <c r="BF7" s="12"/>
      <c r="BG7" s="12"/>
      <c r="BH7" s="12"/>
      <c r="BI7" s="10"/>
      <c r="BJ7" s="10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81" ht="28.5" customHeight="1" x14ac:dyDescent="0.25">
      <c r="A8" s="208" t="s">
        <v>8</v>
      </c>
      <c r="B8" s="206"/>
      <c r="C8" s="22"/>
      <c r="D8" s="208"/>
      <c r="E8" s="206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V8" s="215" t="s">
        <v>9</v>
      </c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6"/>
      <c r="AH8" s="216" t="s">
        <v>10</v>
      </c>
      <c r="AI8" s="205"/>
      <c r="AJ8" s="206"/>
      <c r="AK8" s="24"/>
      <c r="AL8" s="24"/>
      <c r="AM8" s="10"/>
      <c r="AN8" s="25"/>
      <c r="AO8" s="16"/>
      <c r="AP8" s="17"/>
      <c r="AQ8" s="18"/>
      <c r="AR8" s="19"/>
      <c r="AS8" s="13"/>
      <c r="AT8" s="18"/>
      <c r="AU8" s="12"/>
      <c r="AV8" s="20"/>
      <c r="AW8" s="21"/>
      <c r="AX8" s="21"/>
      <c r="AY8" s="20"/>
      <c r="AZ8" s="21"/>
      <c r="BA8" s="12"/>
      <c r="BB8" s="13"/>
      <c r="BC8" s="12"/>
      <c r="BD8" s="12"/>
      <c r="BE8" s="13"/>
      <c r="BF8" s="12"/>
      <c r="BG8" s="12"/>
      <c r="BH8" s="12"/>
      <c r="BI8" s="10"/>
      <c r="BJ8" s="10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1:81" ht="48.75" customHeight="1" x14ac:dyDescent="0.25">
      <c r="A9" s="217" t="s">
        <v>11</v>
      </c>
      <c r="B9" s="218"/>
      <c r="C9" s="26" t="s">
        <v>12</v>
      </c>
      <c r="D9" s="209" t="s">
        <v>13</v>
      </c>
      <c r="E9" s="206"/>
      <c r="F9" s="27" t="s">
        <v>14</v>
      </c>
      <c r="G9" s="26"/>
      <c r="H9" s="26"/>
      <c r="I9" s="26" t="s">
        <v>15</v>
      </c>
      <c r="J9" s="26" t="s">
        <v>16</v>
      </c>
      <c r="K9" s="26" t="s">
        <v>17</v>
      </c>
      <c r="L9" s="26" t="s">
        <v>18</v>
      </c>
      <c r="M9" s="26" t="s">
        <v>19</v>
      </c>
      <c r="N9" s="26" t="s">
        <v>20</v>
      </c>
      <c r="O9" s="26" t="s">
        <v>21</v>
      </c>
      <c r="P9" s="26" t="s">
        <v>22</v>
      </c>
      <c r="Q9" s="26" t="s">
        <v>23</v>
      </c>
      <c r="R9" s="26" t="s">
        <v>24</v>
      </c>
      <c r="S9" s="26" t="s">
        <v>25</v>
      </c>
      <c r="T9" s="26" t="s">
        <v>26</v>
      </c>
      <c r="U9" s="14"/>
      <c r="V9" s="28"/>
      <c r="W9" s="211" t="s">
        <v>27</v>
      </c>
      <c r="X9" s="205"/>
      <c r="Y9" s="206"/>
      <c r="Z9" s="212" t="s">
        <v>28</v>
      </c>
      <c r="AA9" s="205"/>
      <c r="AB9" s="205"/>
      <c r="AC9" s="205"/>
      <c r="AD9" s="205"/>
      <c r="AE9" s="205"/>
      <c r="AF9" s="205"/>
      <c r="AG9" s="206"/>
      <c r="AH9" s="24"/>
      <c r="AI9" s="26"/>
      <c r="AJ9" s="26"/>
      <c r="AK9" s="26"/>
      <c r="AL9" s="26"/>
      <c r="AM9" s="29"/>
      <c r="AN9" s="26"/>
      <c r="AO9" s="30" t="s">
        <v>29</v>
      </c>
      <c r="AP9" s="31" t="s">
        <v>30</v>
      </c>
      <c r="AQ9" s="31" t="s">
        <v>31</v>
      </c>
      <c r="AR9" s="30" t="s">
        <v>32</v>
      </c>
      <c r="AS9" s="31" t="s">
        <v>30</v>
      </c>
      <c r="AT9" s="32" t="s">
        <v>33</v>
      </c>
      <c r="AU9" s="30" t="s">
        <v>34</v>
      </c>
      <c r="AV9" s="32" t="s">
        <v>30</v>
      </c>
      <c r="AW9" s="32" t="s">
        <v>33</v>
      </c>
      <c r="AX9" s="30" t="s">
        <v>35</v>
      </c>
      <c r="AY9" s="32" t="s">
        <v>30</v>
      </c>
      <c r="AZ9" s="32" t="s">
        <v>33</v>
      </c>
      <c r="BA9" s="30" t="s">
        <v>36</v>
      </c>
      <c r="BB9" s="32" t="s">
        <v>30</v>
      </c>
      <c r="BC9" s="32" t="s">
        <v>33</v>
      </c>
      <c r="BD9" s="30" t="s">
        <v>37</v>
      </c>
      <c r="BE9" s="32" t="s">
        <v>30</v>
      </c>
      <c r="BF9" s="32" t="s">
        <v>33</v>
      </c>
      <c r="BG9" s="30" t="s">
        <v>37</v>
      </c>
      <c r="BH9" s="32" t="s">
        <v>30</v>
      </c>
      <c r="BI9" s="32" t="s">
        <v>33</v>
      </c>
      <c r="BJ9" s="29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</row>
    <row r="10" spans="1:81" ht="74.25" customHeight="1" x14ac:dyDescent="0.25">
      <c r="A10" s="34" t="s">
        <v>38</v>
      </c>
      <c r="B10" s="35" t="s">
        <v>39</v>
      </c>
      <c r="C10" s="36" t="s">
        <v>40</v>
      </c>
      <c r="D10" s="210" t="s">
        <v>41</v>
      </c>
      <c r="E10" s="206"/>
      <c r="F10" s="29" t="s">
        <v>42</v>
      </c>
      <c r="G10" s="26" t="s">
        <v>43</v>
      </c>
      <c r="H10" s="26" t="s">
        <v>44</v>
      </c>
      <c r="I10" s="26" t="s">
        <v>45</v>
      </c>
      <c r="J10" s="26" t="s">
        <v>46</v>
      </c>
      <c r="K10" s="26" t="s">
        <v>47</v>
      </c>
      <c r="L10" s="26" t="s">
        <v>48</v>
      </c>
      <c r="M10" s="26" t="s">
        <v>49</v>
      </c>
      <c r="N10" s="26" t="s">
        <v>50</v>
      </c>
      <c r="O10" s="26" t="s">
        <v>51</v>
      </c>
      <c r="P10" s="26" t="s">
        <v>52</v>
      </c>
      <c r="Q10" s="26" t="s">
        <v>53</v>
      </c>
      <c r="R10" s="26" t="s">
        <v>54</v>
      </c>
      <c r="S10" s="26" t="s">
        <v>55</v>
      </c>
      <c r="T10" s="26" t="s">
        <v>56</v>
      </c>
      <c r="U10" s="37" t="s">
        <v>57</v>
      </c>
      <c r="V10" s="28" t="s">
        <v>58</v>
      </c>
      <c r="W10" s="38" t="s">
        <v>59</v>
      </c>
      <c r="X10" s="25" t="s">
        <v>60</v>
      </c>
      <c r="Y10" s="25" t="s">
        <v>61</v>
      </c>
      <c r="Z10" s="39" t="s">
        <v>62</v>
      </c>
      <c r="AA10" s="39" t="s">
        <v>63</v>
      </c>
      <c r="AB10" s="39" t="s">
        <v>64</v>
      </c>
      <c r="AC10" s="39" t="s">
        <v>65</v>
      </c>
      <c r="AD10" s="39" t="s">
        <v>66</v>
      </c>
      <c r="AE10" s="39" t="s">
        <v>67</v>
      </c>
      <c r="AF10" s="39" t="s">
        <v>68</v>
      </c>
      <c r="AG10" s="39" t="s">
        <v>69</v>
      </c>
      <c r="AH10" s="40" t="s">
        <v>70</v>
      </c>
      <c r="AI10" s="41" t="s">
        <v>71</v>
      </c>
      <c r="AJ10" s="26" t="s">
        <v>72</v>
      </c>
      <c r="AK10" s="26" t="s">
        <v>73</v>
      </c>
      <c r="AL10" s="26" t="s">
        <v>74</v>
      </c>
      <c r="AM10" s="42" t="s">
        <v>75</v>
      </c>
      <c r="AN10" s="43" t="s">
        <v>76</v>
      </c>
      <c r="AO10" s="30" t="s">
        <v>77</v>
      </c>
      <c r="AP10" s="31" t="s">
        <v>78</v>
      </c>
      <c r="AQ10" s="31" t="s">
        <v>79</v>
      </c>
      <c r="AR10" s="30" t="s">
        <v>80</v>
      </c>
      <c r="AS10" s="31" t="s">
        <v>78</v>
      </c>
      <c r="AT10" s="32" t="s">
        <v>81</v>
      </c>
      <c r="AU10" s="30" t="s">
        <v>82</v>
      </c>
      <c r="AV10" s="32" t="s">
        <v>78</v>
      </c>
      <c r="AW10" s="32" t="s">
        <v>81</v>
      </c>
      <c r="AX10" s="30" t="s">
        <v>83</v>
      </c>
      <c r="AY10" s="32" t="s">
        <v>78</v>
      </c>
      <c r="AZ10" s="32" t="s">
        <v>81</v>
      </c>
      <c r="BA10" s="30" t="s">
        <v>84</v>
      </c>
      <c r="BB10" s="32" t="s">
        <v>78</v>
      </c>
      <c r="BC10" s="32" t="s">
        <v>81</v>
      </c>
      <c r="BD10" s="30" t="s">
        <v>85</v>
      </c>
      <c r="BE10" s="32" t="s">
        <v>78</v>
      </c>
      <c r="BF10" s="32" t="s">
        <v>81</v>
      </c>
      <c r="BG10" s="30" t="s">
        <v>86</v>
      </c>
      <c r="BH10" s="32" t="s">
        <v>78</v>
      </c>
      <c r="BI10" s="32" t="s">
        <v>81</v>
      </c>
      <c r="BJ10" s="32" t="s">
        <v>79</v>
      </c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</row>
    <row r="11" spans="1:81" ht="15" customHeight="1" x14ac:dyDescent="0.25">
      <c r="A11" s="45" t="s">
        <v>87</v>
      </c>
      <c r="B11" s="45" t="s">
        <v>88</v>
      </c>
      <c r="C11" s="46" t="s">
        <v>89</v>
      </c>
      <c r="D11" s="46">
        <v>112</v>
      </c>
      <c r="E11" s="46">
        <v>113</v>
      </c>
      <c r="F11" s="47">
        <v>44350</v>
      </c>
      <c r="G11" s="48" t="s">
        <v>89</v>
      </c>
      <c r="H11" s="48" t="s">
        <v>89</v>
      </c>
      <c r="I11" s="46" t="s">
        <v>89</v>
      </c>
      <c r="J11" s="46" t="s">
        <v>87</v>
      </c>
      <c r="K11" s="46" t="s">
        <v>87</v>
      </c>
      <c r="L11" s="46" t="s">
        <v>87</v>
      </c>
      <c r="M11" s="46" t="s">
        <v>87</v>
      </c>
      <c r="N11" s="46" t="s">
        <v>87</v>
      </c>
      <c r="O11" s="46" t="s">
        <v>87</v>
      </c>
      <c r="P11" s="46" t="s">
        <v>87</v>
      </c>
      <c r="Q11" s="46" t="s">
        <v>87</v>
      </c>
      <c r="R11" s="46" t="s">
        <v>87</v>
      </c>
      <c r="S11" s="46" t="s">
        <v>87</v>
      </c>
      <c r="T11" s="46" t="s">
        <v>87</v>
      </c>
      <c r="U11" s="46">
        <v>113</v>
      </c>
      <c r="V11" s="46">
        <f t="shared" ref="V11:V12" si="0">W11+Z11</f>
        <v>70</v>
      </c>
      <c r="W11" s="46">
        <v>68</v>
      </c>
      <c r="X11" s="46">
        <f t="shared" ref="X11:X12" si="1">W11-Y11</f>
        <v>68</v>
      </c>
      <c r="Y11" s="46">
        <v>0</v>
      </c>
      <c r="Z11" s="46">
        <f t="shared" ref="Z11:Z12" si="2">SUM(AA11:AG11)</f>
        <v>2</v>
      </c>
      <c r="AA11" s="46">
        <v>0</v>
      </c>
      <c r="AB11" s="46">
        <v>2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f t="shared" ref="AH11:AH12" si="3">SUM(AI11:AL11)</f>
        <v>43</v>
      </c>
      <c r="AI11" s="46">
        <v>43</v>
      </c>
      <c r="AJ11" s="46">
        <v>0</v>
      </c>
      <c r="AK11" s="46">
        <v>0</v>
      </c>
      <c r="AL11" s="46">
        <v>0</v>
      </c>
      <c r="AM11" s="49">
        <v>1</v>
      </c>
      <c r="AN11" s="47">
        <v>44411</v>
      </c>
      <c r="AO11" s="46" t="s">
        <v>89</v>
      </c>
      <c r="AP11" s="50"/>
      <c r="AQ11" s="50">
        <f t="shared" ref="AQ11:AQ236" si="4">IF(AN11&lt;&gt;"N.A.",AN11-F11,"N.A.")</f>
        <v>61</v>
      </c>
      <c r="AR11" s="51"/>
      <c r="AS11" s="50"/>
      <c r="AT11" s="46"/>
      <c r="AU11" s="51"/>
      <c r="AV11" s="46"/>
      <c r="AW11" s="46"/>
      <c r="AX11" s="51"/>
      <c r="AY11" s="46"/>
      <c r="AZ11" s="46"/>
      <c r="BA11" s="51"/>
      <c r="BB11" s="46"/>
      <c r="BC11" s="46"/>
      <c r="BD11" s="51"/>
      <c r="BE11" s="46"/>
      <c r="BF11" s="46"/>
      <c r="BG11" s="51"/>
      <c r="BH11" s="46"/>
      <c r="BI11" s="46"/>
      <c r="BJ11" s="52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</row>
    <row r="12" spans="1:81" ht="15" customHeight="1" x14ac:dyDescent="0.25">
      <c r="A12" s="46" t="s">
        <v>90</v>
      </c>
      <c r="B12" s="46" t="s">
        <v>88</v>
      </c>
      <c r="C12" s="46" t="s">
        <v>89</v>
      </c>
      <c r="D12" s="46">
        <v>134</v>
      </c>
      <c r="E12" s="46">
        <v>135</v>
      </c>
      <c r="F12" s="47">
        <v>44350</v>
      </c>
      <c r="G12" s="48" t="s">
        <v>89</v>
      </c>
      <c r="H12" s="48" t="s">
        <v>89</v>
      </c>
      <c r="I12" s="46" t="s">
        <v>89</v>
      </c>
      <c r="J12" s="46" t="s">
        <v>89</v>
      </c>
      <c r="K12" s="46" t="s">
        <v>89</v>
      </c>
      <c r="L12" s="46" t="s">
        <v>89</v>
      </c>
      <c r="M12" s="46" t="s">
        <v>89</v>
      </c>
      <c r="N12" s="46" t="s">
        <v>89</v>
      </c>
      <c r="O12" s="46" t="s">
        <v>89</v>
      </c>
      <c r="P12" s="46" t="s">
        <v>89</v>
      </c>
      <c r="Q12" s="46" t="s">
        <v>89</v>
      </c>
      <c r="R12" s="46" t="s">
        <v>89</v>
      </c>
      <c r="S12" s="46" t="s">
        <v>89</v>
      </c>
      <c r="T12" s="46" t="s">
        <v>89</v>
      </c>
      <c r="U12" s="46">
        <v>99</v>
      </c>
      <c r="V12" s="46">
        <f t="shared" si="0"/>
        <v>93</v>
      </c>
      <c r="W12" s="46">
        <v>92</v>
      </c>
      <c r="X12" s="46">
        <f t="shared" si="1"/>
        <v>92</v>
      </c>
      <c r="Y12" s="46">
        <v>0</v>
      </c>
      <c r="Z12" s="46">
        <f t="shared" si="2"/>
        <v>1</v>
      </c>
      <c r="AA12" s="46">
        <v>0</v>
      </c>
      <c r="AB12" s="46">
        <v>0</v>
      </c>
      <c r="AC12" s="46">
        <v>1</v>
      </c>
      <c r="AD12" s="46">
        <v>0</v>
      </c>
      <c r="AE12" s="46">
        <v>0</v>
      </c>
      <c r="AF12" s="46">
        <v>0</v>
      </c>
      <c r="AG12" s="46">
        <v>0</v>
      </c>
      <c r="AH12" s="46">
        <f t="shared" si="3"/>
        <v>6</v>
      </c>
      <c r="AI12" s="46">
        <v>6</v>
      </c>
      <c r="AJ12" s="46">
        <v>0</v>
      </c>
      <c r="AK12" s="46">
        <v>0</v>
      </c>
      <c r="AL12" s="46">
        <v>0</v>
      </c>
      <c r="AM12" s="49">
        <v>1</v>
      </c>
      <c r="AN12" s="47">
        <v>44411</v>
      </c>
      <c r="AO12" s="46" t="s">
        <v>89</v>
      </c>
      <c r="AP12" s="50"/>
      <c r="AQ12" s="50">
        <f t="shared" si="4"/>
        <v>61</v>
      </c>
      <c r="AR12" s="51"/>
      <c r="AS12" s="50"/>
      <c r="AT12" s="46"/>
      <c r="AU12" s="51"/>
      <c r="AV12" s="46"/>
      <c r="AW12" s="46"/>
      <c r="AX12" s="51"/>
      <c r="AY12" s="46"/>
      <c r="AZ12" s="46"/>
      <c r="BA12" s="51"/>
      <c r="BB12" s="46"/>
      <c r="BC12" s="46"/>
      <c r="BD12" s="51"/>
      <c r="BE12" s="46"/>
      <c r="BF12" s="46"/>
      <c r="BG12" s="51"/>
      <c r="BH12" s="46"/>
      <c r="BI12" s="46"/>
      <c r="BJ12" s="52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</row>
    <row r="13" spans="1:81" ht="15" customHeight="1" x14ac:dyDescent="0.25">
      <c r="A13" s="46" t="s">
        <v>91</v>
      </c>
      <c r="B13" s="46" t="s">
        <v>88</v>
      </c>
      <c r="C13" s="46" t="s">
        <v>89</v>
      </c>
      <c r="D13" s="46">
        <v>138</v>
      </c>
      <c r="E13" s="46">
        <v>139</v>
      </c>
      <c r="F13" s="47">
        <v>44351</v>
      </c>
      <c r="G13" s="48" t="s">
        <v>89</v>
      </c>
      <c r="H13" s="48" t="s">
        <v>89</v>
      </c>
      <c r="I13" s="46" t="s">
        <v>89</v>
      </c>
      <c r="J13" s="46" t="s">
        <v>89</v>
      </c>
      <c r="K13" s="46" t="s">
        <v>89</v>
      </c>
      <c r="L13" s="46" t="s">
        <v>89</v>
      </c>
      <c r="M13" s="46" t="s">
        <v>89</v>
      </c>
      <c r="N13" s="46" t="s">
        <v>89</v>
      </c>
      <c r="O13" s="46" t="s">
        <v>89</v>
      </c>
      <c r="P13" s="46" t="s">
        <v>89</v>
      </c>
      <c r="Q13" s="46" t="s">
        <v>89</v>
      </c>
      <c r="R13" s="46" t="s">
        <v>89</v>
      </c>
      <c r="S13" s="46" t="s">
        <v>89</v>
      </c>
      <c r="T13" s="46" t="s">
        <v>89</v>
      </c>
      <c r="U13" s="46" t="s">
        <v>89</v>
      </c>
      <c r="V13" s="46" t="s">
        <v>89</v>
      </c>
      <c r="W13" s="46" t="s">
        <v>89</v>
      </c>
      <c r="X13" s="46" t="s">
        <v>89</v>
      </c>
      <c r="Y13" s="46" t="s">
        <v>89</v>
      </c>
      <c r="Z13" s="46" t="s">
        <v>89</v>
      </c>
      <c r="AA13" s="46" t="s">
        <v>89</v>
      </c>
      <c r="AB13" s="46" t="s">
        <v>89</v>
      </c>
      <c r="AC13" s="46" t="s">
        <v>89</v>
      </c>
      <c r="AD13" s="46" t="s">
        <v>89</v>
      </c>
      <c r="AE13" s="46" t="s">
        <v>89</v>
      </c>
      <c r="AF13" s="46" t="s">
        <v>89</v>
      </c>
      <c r="AG13" s="46" t="s">
        <v>89</v>
      </c>
      <c r="AH13" s="46" t="s">
        <v>89</v>
      </c>
      <c r="AI13" s="46" t="s">
        <v>89</v>
      </c>
      <c r="AJ13" s="46" t="s">
        <v>89</v>
      </c>
      <c r="AK13" s="46" t="s">
        <v>89</v>
      </c>
      <c r="AL13" s="46" t="s">
        <v>89</v>
      </c>
      <c r="AM13" s="49">
        <v>1</v>
      </c>
      <c r="AN13" s="46" t="s">
        <v>89</v>
      </c>
      <c r="AO13" s="46" t="s">
        <v>89</v>
      </c>
      <c r="AP13" s="46"/>
      <c r="AQ13" s="50" t="str">
        <f t="shared" si="4"/>
        <v>N.A.</v>
      </c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52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</row>
    <row r="14" spans="1:81" ht="15" customHeight="1" x14ac:dyDescent="0.25">
      <c r="A14" s="46" t="s">
        <v>92</v>
      </c>
      <c r="B14" s="46" t="s">
        <v>93</v>
      </c>
      <c r="C14" s="46" t="s">
        <v>89</v>
      </c>
      <c r="D14" s="46">
        <v>19</v>
      </c>
      <c r="E14" s="46">
        <v>20</v>
      </c>
      <c r="F14" s="47">
        <v>44352</v>
      </c>
      <c r="G14" s="48" t="s">
        <v>89</v>
      </c>
      <c r="H14" s="48" t="s">
        <v>89</v>
      </c>
      <c r="I14" s="46" t="s">
        <v>89</v>
      </c>
      <c r="J14" s="46" t="s">
        <v>89</v>
      </c>
      <c r="K14" s="46" t="s">
        <v>89</v>
      </c>
      <c r="L14" s="46" t="s">
        <v>89</v>
      </c>
      <c r="M14" s="46" t="s">
        <v>89</v>
      </c>
      <c r="N14" s="46" t="s">
        <v>89</v>
      </c>
      <c r="O14" s="46" t="s">
        <v>89</v>
      </c>
      <c r="P14" s="46" t="s">
        <v>89</v>
      </c>
      <c r="Q14" s="46" t="s">
        <v>89</v>
      </c>
      <c r="R14" s="46" t="s">
        <v>89</v>
      </c>
      <c r="S14" s="46" t="s">
        <v>89</v>
      </c>
      <c r="T14" s="46" t="s">
        <v>89</v>
      </c>
      <c r="U14" s="46">
        <v>117</v>
      </c>
      <c r="V14" s="46">
        <f t="shared" ref="V14:V20" si="5">W14+Z14</f>
        <v>0</v>
      </c>
      <c r="W14" s="46">
        <v>0</v>
      </c>
      <c r="X14" s="46">
        <f t="shared" ref="X14:X15" si="6">W14-Y14</f>
        <v>0</v>
      </c>
      <c r="Y14" s="46">
        <v>0</v>
      </c>
      <c r="Z14" s="46">
        <f t="shared" ref="Z14:Z20" si="7">SUM(AA14:AG14)</f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f t="shared" ref="AH14:AH20" si="8">SUM(AI14:AL14)</f>
        <v>117</v>
      </c>
      <c r="AI14" s="46">
        <v>117</v>
      </c>
      <c r="AJ14" s="46">
        <v>0</v>
      </c>
      <c r="AK14" s="46">
        <v>0</v>
      </c>
      <c r="AL14" s="46">
        <v>0</v>
      </c>
      <c r="AM14" s="49">
        <v>1</v>
      </c>
      <c r="AN14" s="47">
        <v>44416</v>
      </c>
      <c r="AO14" s="46" t="s">
        <v>89</v>
      </c>
      <c r="AP14" s="46"/>
      <c r="AQ14" s="50">
        <f t="shared" si="4"/>
        <v>64</v>
      </c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52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</row>
    <row r="15" spans="1:81" ht="15" customHeight="1" x14ac:dyDescent="0.25">
      <c r="A15" s="46" t="s">
        <v>94</v>
      </c>
      <c r="B15" s="46" t="s">
        <v>93</v>
      </c>
      <c r="C15" s="46" t="s">
        <v>89</v>
      </c>
      <c r="D15" s="46">
        <v>57</v>
      </c>
      <c r="E15" s="46">
        <v>58</v>
      </c>
      <c r="F15" s="47">
        <v>44352</v>
      </c>
      <c r="G15" s="48" t="s">
        <v>89</v>
      </c>
      <c r="H15" s="48" t="s">
        <v>89</v>
      </c>
      <c r="I15" s="46" t="s">
        <v>89</v>
      </c>
      <c r="J15" s="46" t="s">
        <v>89</v>
      </c>
      <c r="K15" s="46" t="s">
        <v>89</v>
      </c>
      <c r="L15" s="46" t="s">
        <v>89</v>
      </c>
      <c r="M15" s="46" t="s">
        <v>89</v>
      </c>
      <c r="N15" s="46" t="s">
        <v>89</v>
      </c>
      <c r="O15" s="46" t="s">
        <v>89</v>
      </c>
      <c r="P15" s="46" t="s">
        <v>89</v>
      </c>
      <c r="Q15" s="46" t="s">
        <v>89</v>
      </c>
      <c r="R15" s="46" t="s">
        <v>89</v>
      </c>
      <c r="S15" s="46" t="s">
        <v>89</v>
      </c>
      <c r="T15" s="46" t="s">
        <v>89</v>
      </c>
      <c r="U15" s="46">
        <v>95</v>
      </c>
      <c r="V15" s="46">
        <f t="shared" si="5"/>
        <v>78</v>
      </c>
      <c r="W15" s="46">
        <v>77</v>
      </c>
      <c r="X15" s="46">
        <f t="shared" si="6"/>
        <v>76</v>
      </c>
      <c r="Y15" s="46">
        <v>1</v>
      </c>
      <c r="Z15" s="46">
        <f t="shared" si="7"/>
        <v>1</v>
      </c>
      <c r="AA15" s="46">
        <v>1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f t="shared" si="8"/>
        <v>17</v>
      </c>
      <c r="AI15" s="46">
        <v>17</v>
      </c>
      <c r="AJ15" s="46">
        <v>0</v>
      </c>
      <c r="AK15" s="46">
        <v>0</v>
      </c>
      <c r="AL15" s="46">
        <v>0</v>
      </c>
      <c r="AM15" s="49">
        <v>1</v>
      </c>
      <c r="AN15" s="47">
        <v>44409</v>
      </c>
      <c r="AO15" s="46" t="s">
        <v>89</v>
      </c>
      <c r="AP15" s="46"/>
      <c r="AQ15" s="50">
        <f t="shared" si="4"/>
        <v>57</v>
      </c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52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</row>
    <row r="16" spans="1:81" ht="15" customHeight="1" x14ac:dyDescent="0.25">
      <c r="A16" s="46" t="s">
        <v>95</v>
      </c>
      <c r="B16" s="46" t="s">
        <v>88</v>
      </c>
      <c r="C16" s="46" t="s">
        <v>89</v>
      </c>
      <c r="D16" s="46">
        <v>152</v>
      </c>
      <c r="E16" s="46">
        <v>153</v>
      </c>
      <c r="F16" s="47">
        <v>44352</v>
      </c>
      <c r="G16" s="48" t="s">
        <v>89</v>
      </c>
      <c r="H16" s="48" t="s">
        <v>89</v>
      </c>
      <c r="I16" s="46" t="s">
        <v>89</v>
      </c>
      <c r="J16" s="46" t="s">
        <v>89</v>
      </c>
      <c r="K16" s="46" t="s">
        <v>89</v>
      </c>
      <c r="L16" s="46" t="s">
        <v>89</v>
      </c>
      <c r="M16" s="46" t="s">
        <v>89</v>
      </c>
      <c r="N16" s="46" t="s">
        <v>89</v>
      </c>
      <c r="O16" s="46" t="s">
        <v>89</v>
      </c>
      <c r="P16" s="46" t="s">
        <v>89</v>
      </c>
      <c r="Q16" s="46" t="s">
        <v>89</v>
      </c>
      <c r="R16" s="46" t="s">
        <v>89</v>
      </c>
      <c r="S16" s="46" t="s">
        <v>89</v>
      </c>
      <c r="T16" s="46" t="s">
        <v>89</v>
      </c>
      <c r="U16" s="46">
        <v>40</v>
      </c>
      <c r="V16" s="46">
        <f t="shared" si="5"/>
        <v>26</v>
      </c>
      <c r="W16" s="46">
        <v>26</v>
      </c>
      <c r="X16" s="46">
        <v>26</v>
      </c>
      <c r="Y16" s="46">
        <v>0</v>
      </c>
      <c r="Z16" s="46">
        <f t="shared" si="7"/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f t="shared" si="8"/>
        <v>14</v>
      </c>
      <c r="AI16" s="46">
        <v>11</v>
      </c>
      <c r="AJ16" s="46">
        <v>3</v>
      </c>
      <c r="AK16" s="46">
        <v>0</v>
      </c>
      <c r="AL16" s="46">
        <v>0</v>
      </c>
      <c r="AM16" s="49">
        <v>1</v>
      </c>
      <c r="AN16" s="47">
        <v>44419</v>
      </c>
      <c r="AO16" s="46" t="s">
        <v>89</v>
      </c>
      <c r="AP16" s="46"/>
      <c r="AQ16" s="50">
        <f t="shared" si="4"/>
        <v>67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52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</row>
    <row r="17" spans="1:81" ht="15" customHeight="1" x14ac:dyDescent="0.25">
      <c r="A17" s="46" t="s">
        <v>96</v>
      </c>
      <c r="B17" s="46" t="s">
        <v>88</v>
      </c>
      <c r="C17" s="46" t="s">
        <v>89</v>
      </c>
      <c r="D17" s="46">
        <v>136</v>
      </c>
      <c r="E17" s="46">
        <v>137</v>
      </c>
      <c r="F17" s="47">
        <v>44354</v>
      </c>
      <c r="G17" s="48" t="s">
        <v>89</v>
      </c>
      <c r="H17" s="48" t="s">
        <v>89</v>
      </c>
      <c r="I17" s="46" t="s">
        <v>89</v>
      </c>
      <c r="J17" s="46" t="s">
        <v>89</v>
      </c>
      <c r="K17" s="46" t="s">
        <v>89</v>
      </c>
      <c r="L17" s="46" t="s">
        <v>89</v>
      </c>
      <c r="M17" s="46" t="s">
        <v>89</v>
      </c>
      <c r="N17" s="46" t="s">
        <v>89</v>
      </c>
      <c r="O17" s="46" t="s">
        <v>89</v>
      </c>
      <c r="P17" s="46" t="s">
        <v>89</v>
      </c>
      <c r="Q17" s="46" t="s">
        <v>89</v>
      </c>
      <c r="R17" s="46" t="s">
        <v>89</v>
      </c>
      <c r="S17" s="46" t="s">
        <v>89</v>
      </c>
      <c r="T17" s="46" t="s">
        <v>89</v>
      </c>
      <c r="U17" s="46">
        <v>140</v>
      </c>
      <c r="V17" s="46">
        <f t="shared" si="5"/>
        <v>122</v>
      </c>
      <c r="W17" s="46">
        <v>120</v>
      </c>
      <c r="X17" s="46">
        <f t="shared" ref="X17:X20" si="9">W17-Y17</f>
        <v>111</v>
      </c>
      <c r="Y17" s="46">
        <v>9</v>
      </c>
      <c r="Z17" s="46">
        <f t="shared" si="7"/>
        <v>2</v>
      </c>
      <c r="AA17" s="46">
        <v>1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1</v>
      </c>
      <c r="AH17" s="46">
        <f t="shared" si="8"/>
        <v>17</v>
      </c>
      <c r="AI17" s="46">
        <v>17</v>
      </c>
      <c r="AJ17" s="46">
        <v>0</v>
      </c>
      <c r="AK17" s="46">
        <v>0</v>
      </c>
      <c r="AL17" s="46">
        <v>0</v>
      </c>
      <c r="AM17" s="49">
        <v>1</v>
      </c>
      <c r="AN17" s="47">
        <v>44411</v>
      </c>
      <c r="AO17" s="46" t="s">
        <v>89</v>
      </c>
      <c r="AP17" s="46"/>
      <c r="AQ17" s="50">
        <f t="shared" si="4"/>
        <v>57</v>
      </c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52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</row>
    <row r="18" spans="1:81" ht="15" customHeight="1" x14ac:dyDescent="0.25">
      <c r="A18" s="46" t="s">
        <v>97</v>
      </c>
      <c r="B18" s="46" t="s">
        <v>88</v>
      </c>
      <c r="C18" s="46" t="s">
        <v>89</v>
      </c>
      <c r="D18" s="46">
        <v>141</v>
      </c>
      <c r="E18" s="46">
        <v>142</v>
      </c>
      <c r="F18" s="47">
        <v>44356</v>
      </c>
      <c r="G18" s="48" t="s">
        <v>89</v>
      </c>
      <c r="H18" s="48" t="s">
        <v>89</v>
      </c>
      <c r="I18" s="46" t="s">
        <v>89</v>
      </c>
      <c r="J18" s="46" t="s">
        <v>89</v>
      </c>
      <c r="K18" s="46" t="s">
        <v>89</v>
      </c>
      <c r="L18" s="46" t="s">
        <v>89</v>
      </c>
      <c r="M18" s="46" t="s">
        <v>89</v>
      </c>
      <c r="N18" s="46" t="s">
        <v>89</v>
      </c>
      <c r="O18" s="46" t="s">
        <v>89</v>
      </c>
      <c r="P18" s="46" t="s">
        <v>89</v>
      </c>
      <c r="Q18" s="46" t="s">
        <v>89</v>
      </c>
      <c r="R18" s="46" t="s">
        <v>89</v>
      </c>
      <c r="S18" s="46" t="s">
        <v>89</v>
      </c>
      <c r="T18" s="46" t="s">
        <v>89</v>
      </c>
      <c r="U18" s="46">
        <v>58</v>
      </c>
      <c r="V18" s="46">
        <f t="shared" si="5"/>
        <v>49</v>
      </c>
      <c r="W18" s="46">
        <v>43</v>
      </c>
      <c r="X18" s="46">
        <f t="shared" si="9"/>
        <v>43</v>
      </c>
      <c r="Y18" s="46">
        <v>0</v>
      </c>
      <c r="Z18" s="46">
        <f t="shared" si="7"/>
        <v>6</v>
      </c>
      <c r="AA18" s="46">
        <v>4</v>
      </c>
      <c r="AB18" s="46">
        <v>1</v>
      </c>
      <c r="AC18" s="46">
        <v>0</v>
      </c>
      <c r="AD18" s="46">
        <v>1</v>
      </c>
      <c r="AE18" s="46">
        <v>0</v>
      </c>
      <c r="AF18" s="46">
        <v>0</v>
      </c>
      <c r="AG18" s="46">
        <v>0</v>
      </c>
      <c r="AH18" s="46">
        <f t="shared" si="8"/>
        <v>9</v>
      </c>
      <c r="AI18" s="46">
        <v>9</v>
      </c>
      <c r="AJ18" s="46">
        <v>0</v>
      </c>
      <c r="AK18" s="46">
        <v>0</v>
      </c>
      <c r="AL18" s="46">
        <v>0</v>
      </c>
      <c r="AM18" s="49">
        <v>1</v>
      </c>
      <c r="AN18" s="47">
        <v>44418</v>
      </c>
      <c r="AO18" s="46" t="s">
        <v>89</v>
      </c>
      <c r="AP18" s="46"/>
      <c r="AQ18" s="50">
        <f t="shared" si="4"/>
        <v>62</v>
      </c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52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</row>
    <row r="19" spans="1:81" ht="15" customHeight="1" x14ac:dyDescent="0.25">
      <c r="A19" s="46" t="s">
        <v>98</v>
      </c>
      <c r="B19" s="46" t="s">
        <v>93</v>
      </c>
      <c r="C19" s="46" t="s">
        <v>89</v>
      </c>
      <c r="D19" s="46">
        <v>27</v>
      </c>
      <c r="E19" s="46">
        <v>28</v>
      </c>
      <c r="F19" s="47">
        <v>44356</v>
      </c>
      <c r="G19" s="48" t="s">
        <v>89</v>
      </c>
      <c r="H19" s="48" t="s">
        <v>89</v>
      </c>
      <c r="I19" s="46" t="s">
        <v>89</v>
      </c>
      <c r="J19" s="46" t="s">
        <v>89</v>
      </c>
      <c r="K19" s="46" t="s">
        <v>89</v>
      </c>
      <c r="L19" s="46" t="s">
        <v>89</v>
      </c>
      <c r="M19" s="46" t="s">
        <v>89</v>
      </c>
      <c r="N19" s="46" t="s">
        <v>89</v>
      </c>
      <c r="O19" s="46" t="s">
        <v>89</v>
      </c>
      <c r="P19" s="46" t="s">
        <v>89</v>
      </c>
      <c r="Q19" s="46" t="s">
        <v>89</v>
      </c>
      <c r="R19" s="46" t="s">
        <v>89</v>
      </c>
      <c r="S19" s="46" t="s">
        <v>89</v>
      </c>
      <c r="T19" s="46" t="s">
        <v>89</v>
      </c>
      <c r="U19" s="46">
        <v>65</v>
      </c>
      <c r="V19" s="46">
        <f t="shared" si="5"/>
        <v>52</v>
      </c>
      <c r="W19" s="46">
        <v>29</v>
      </c>
      <c r="X19" s="46">
        <f t="shared" si="9"/>
        <v>28</v>
      </c>
      <c r="Y19" s="46">
        <v>1</v>
      </c>
      <c r="Z19" s="46">
        <f t="shared" si="7"/>
        <v>23</v>
      </c>
      <c r="AA19" s="46">
        <v>2</v>
      </c>
      <c r="AB19" s="46">
        <v>2</v>
      </c>
      <c r="AC19" s="46">
        <v>0</v>
      </c>
      <c r="AD19" s="46">
        <v>5</v>
      </c>
      <c r="AE19" s="46">
        <v>0</v>
      </c>
      <c r="AF19" s="46">
        <v>0</v>
      </c>
      <c r="AG19" s="46">
        <v>14</v>
      </c>
      <c r="AH19" s="46">
        <f t="shared" si="8"/>
        <v>13</v>
      </c>
      <c r="AI19" s="46">
        <v>0</v>
      </c>
      <c r="AJ19" s="46">
        <v>13</v>
      </c>
      <c r="AK19" s="46">
        <v>0</v>
      </c>
      <c r="AL19" s="46">
        <v>0</v>
      </c>
      <c r="AM19" s="49">
        <v>1</v>
      </c>
      <c r="AN19" s="47">
        <v>44422</v>
      </c>
      <c r="AO19" s="46" t="s">
        <v>89</v>
      </c>
      <c r="AP19" s="46"/>
      <c r="AQ19" s="50">
        <f t="shared" si="4"/>
        <v>66</v>
      </c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52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</row>
    <row r="20" spans="1:81" ht="13.5" customHeight="1" x14ac:dyDescent="0.25">
      <c r="A20" s="46" t="s">
        <v>99</v>
      </c>
      <c r="B20" s="46" t="s">
        <v>88</v>
      </c>
      <c r="C20" s="46" t="s">
        <v>89</v>
      </c>
      <c r="D20" s="46">
        <v>147</v>
      </c>
      <c r="E20" s="46">
        <v>148</v>
      </c>
      <c r="F20" s="47">
        <v>44356</v>
      </c>
      <c r="G20" s="48" t="s">
        <v>89</v>
      </c>
      <c r="H20" s="48" t="s">
        <v>89</v>
      </c>
      <c r="I20" s="46" t="s">
        <v>89</v>
      </c>
      <c r="J20" s="46" t="s">
        <v>89</v>
      </c>
      <c r="K20" s="46" t="s">
        <v>89</v>
      </c>
      <c r="L20" s="46" t="s">
        <v>89</v>
      </c>
      <c r="M20" s="46" t="s">
        <v>89</v>
      </c>
      <c r="N20" s="46" t="s">
        <v>89</v>
      </c>
      <c r="O20" s="46" t="s">
        <v>89</v>
      </c>
      <c r="P20" s="46" t="s">
        <v>89</v>
      </c>
      <c r="Q20" s="46" t="s">
        <v>89</v>
      </c>
      <c r="R20" s="46" t="s">
        <v>89</v>
      </c>
      <c r="S20" s="46" t="s">
        <v>89</v>
      </c>
      <c r="T20" s="46" t="s">
        <v>89</v>
      </c>
      <c r="U20" s="46">
        <v>133</v>
      </c>
      <c r="V20" s="46">
        <f t="shared" si="5"/>
        <v>101</v>
      </c>
      <c r="W20" s="46">
        <v>88</v>
      </c>
      <c r="X20" s="46">
        <f t="shared" si="9"/>
        <v>88</v>
      </c>
      <c r="Y20" s="46">
        <v>0</v>
      </c>
      <c r="Z20" s="46">
        <f t="shared" si="7"/>
        <v>13</v>
      </c>
      <c r="AA20" s="46">
        <v>6</v>
      </c>
      <c r="AB20" s="46">
        <v>2</v>
      </c>
      <c r="AC20" s="46">
        <v>0</v>
      </c>
      <c r="AD20" s="46">
        <v>0</v>
      </c>
      <c r="AE20" s="46">
        <v>5</v>
      </c>
      <c r="AF20" s="46">
        <v>0</v>
      </c>
      <c r="AG20" s="46">
        <v>0</v>
      </c>
      <c r="AH20" s="46">
        <f t="shared" si="8"/>
        <v>35</v>
      </c>
      <c r="AI20" s="46">
        <v>35</v>
      </c>
      <c r="AJ20" s="46">
        <v>0</v>
      </c>
      <c r="AK20" s="46">
        <v>0</v>
      </c>
      <c r="AL20" s="46">
        <v>0</v>
      </c>
      <c r="AM20" s="49">
        <v>1</v>
      </c>
      <c r="AN20" s="47">
        <v>44419</v>
      </c>
      <c r="AO20" s="46" t="s">
        <v>89</v>
      </c>
      <c r="AP20" s="46"/>
      <c r="AQ20" s="50">
        <f t="shared" si="4"/>
        <v>63</v>
      </c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52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</row>
    <row r="21" spans="1:81" ht="15" customHeight="1" x14ac:dyDescent="0.25">
      <c r="A21" s="46" t="s">
        <v>100</v>
      </c>
      <c r="B21" s="46" t="s">
        <v>93</v>
      </c>
      <c r="C21" s="46" t="s">
        <v>89</v>
      </c>
      <c r="D21" s="46">
        <v>16</v>
      </c>
      <c r="E21" s="46">
        <v>17</v>
      </c>
      <c r="F21" s="47">
        <v>44357</v>
      </c>
      <c r="G21" s="48" t="s">
        <v>89</v>
      </c>
      <c r="H21" s="48" t="s">
        <v>89</v>
      </c>
      <c r="I21" s="46" t="s">
        <v>89</v>
      </c>
      <c r="J21" s="46" t="s">
        <v>89</v>
      </c>
      <c r="K21" s="46" t="s">
        <v>89</v>
      </c>
      <c r="L21" s="46" t="s">
        <v>89</v>
      </c>
      <c r="M21" s="46" t="s">
        <v>89</v>
      </c>
      <c r="N21" s="46" t="s">
        <v>89</v>
      </c>
      <c r="O21" s="46" t="s">
        <v>89</v>
      </c>
      <c r="P21" s="46" t="s">
        <v>89</v>
      </c>
      <c r="Q21" s="46" t="s">
        <v>89</v>
      </c>
      <c r="R21" s="46" t="s">
        <v>89</v>
      </c>
      <c r="S21" s="46" t="s">
        <v>89</v>
      </c>
      <c r="T21" s="46" t="s">
        <v>89</v>
      </c>
      <c r="U21" s="46" t="s">
        <v>89</v>
      </c>
      <c r="V21" s="46" t="s">
        <v>89</v>
      </c>
      <c r="W21" s="46" t="s">
        <v>89</v>
      </c>
      <c r="X21" s="46" t="s">
        <v>89</v>
      </c>
      <c r="Y21" s="46" t="s">
        <v>89</v>
      </c>
      <c r="Z21" s="46" t="s">
        <v>89</v>
      </c>
      <c r="AA21" s="46" t="s">
        <v>89</v>
      </c>
      <c r="AB21" s="46" t="s">
        <v>89</v>
      </c>
      <c r="AC21" s="46" t="s">
        <v>89</v>
      </c>
      <c r="AD21" s="46" t="s">
        <v>89</v>
      </c>
      <c r="AE21" s="46" t="s">
        <v>89</v>
      </c>
      <c r="AF21" s="46" t="s">
        <v>89</v>
      </c>
      <c r="AG21" s="46" t="s">
        <v>89</v>
      </c>
      <c r="AH21" s="46" t="s">
        <v>89</v>
      </c>
      <c r="AI21" s="46" t="s">
        <v>89</v>
      </c>
      <c r="AJ21" s="46" t="s">
        <v>89</v>
      </c>
      <c r="AK21" s="46">
        <v>0</v>
      </c>
      <c r="AL21" s="46">
        <v>0</v>
      </c>
      <c r="AM21" s="49">
        <v>1</v>
      </c>
      <c r="AN21" s="46" t="s">
        <v>89</v>
      </c>
      <c r="AO21" s="46" t="s">
        <v>89</v>
      </c>
      <c r="AP21" s="46"/>
      <c r="AQ21" s="50" t="str">
        <f t="shared" si="4"/>
        <v>N.A.</v>
      </c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52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</row>
    <row r="22" spans="1:81" ht="15" customHeight="1" x14ac:dyDescent="0.25">
      <c r="A22" s="46" t="s">
        <v>101</v>
      </c>
      <c r="B22" s="46" t="s">
        <v>93</v>
      </c>
      <c r="C22" s="46" t="s">
        <v>89</v>
      </c>
      <c r="D22" s="46">
        <v>36</v>
      </c>
      <c r="E22" s="46">
        <v>37</v>
      </c>
      <c r="F22" s="47">
        <v>44357</v>
      </c>
      <c r="G22" s="48" t="s">
        <v>89</v>
      </c>
      <c r="H22" s="48" t="s">
        <v>89</v>
      </c>
      <c r="I22" s="46" t="s">
        <v>89</v>
      </c>
      <c r="J22" s="46" t="s">
        <v>89</v>
      </c>
      <c r="K22" s="46" t="s">
        <v>89</v>
      </c>
      <c r="L22" s="46" t="s">
        <v>89</v>
      </c>
      <c r="M22" s="46" t="s">
        <v>89</v>
      </c>
      <c r="N22" s="46" t="s">
        <v>89</v>
      </c>
      <c r="O22" s="46" t="s">
        <v>89</v>
      </c>
      <c r="P22" s="46" t="s">
        <v>89</v>
      </c>
      <c r="Q22" s="46" t="s">
        <v>89</v>
      </c>
      <c r="R22" s="46" t="s">
        <v>89</v>
      </c>
      <c r="S22" s="46" t="s">
        <v>89</v>
      </c>
      <c r="T22" s="46" t="s">
        <v>89</v>
      </c>
      <c r="U22" s="46">
        <v>111</v>
      </c>
      <c r="V22" s="46">
        <f t="shared" ref="V22:V32" si="10">W22+Z22</f>
        <v>110</v>
      </c>
      <c r="W22" s="46">
        <v>108</v>
      </c>
      <c r="X22" s="46">
        <f t="shared" ref="X22:X32" si="11">W22-Y22</f>
        <v>108</v>
      </c>
      <c r="Y22" s="46">
        <v>0</v>
      </c>
      <c r="Z22" s="46">
        <f t="shared" ref="Z22:Z32" si="12">SUM(AA22:AG22)</f>
        <v>2</v>
      </c>
      <c r="AA22" s="46">
        <v>1</v>
      </c>
      <c r="AB22" s="46">
        <v>1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f t="shared" ref="AH22:AH32" si="13">SUM(AI22:AL22)</f>
        <v>1</v>
      </c>
      <c r="AI22" s="46">
        <v>1</v>
      </c>
      <c r="AJ22" s="46">
        <v>0</v>
      </c>
      <c r="AK22" s="46">
        <v>0</v>
      </c>
      <c r="AL22" s="46">
        <v>0</v>
      </c>
      <c r="AM22" s="49">
        <v>1</v>
      </c>
      <c r="AN22" s="47">
        <v>44421</v>
      </c>
      <c r="AO22" s="47">
        <v>44419</v>
      </c>
      <c r="AP22" s="46"/>
      <c r="AQ22" s="50">
        <f t="shared" si="4"/>
        <v>64</v>
      </c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52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</row>
    <row r="23" spans="1:81" ht="15" customHeight="1" x14ac:dyDescent="0.25">
      <c r="A23" s="46" t="s">
        <v>102</v>
      </c>
      <c r="B23" s="46" t="s">
        <v>88</v>
      </c>
      <c r="C23" s="46" t="s">
        <v>89</v>
      </c>
      <c r="D23" s="46">
        <v>137</v>
      </c>
      <c r="E23" s="46">
        <v>138</v>
      </c>
      <c r="F23" s="47">
        <v>44357</v>
      </c>
      <c r="G23" s="48" t="s">
        <v>89</v>
      </c>
      <c r="H23" s="48" t="s">
        <v>89</v>
      </c>
      <c r="I23" s="46" t="s">
        <v>89</v>
      </c>
      <c r="J23" s="46" t="s">
        <v>89</v>
      </c>
      <c r="K23" s="46" t="s">
        <v>89</v>
      </c>
      <c r="L23" s="46" t="s">
        <v>89</v>
      </c>
      <c r="M23" s="46" t="s">
        <v>89</v>
      </c>
      <c r="N23" s="46" t="s">
        <v>89</v>
      </c>
      <c r="O23" s="46" t="s">
        <v>89</v>
      </c>
      <c r="P23" s="46" t="s">
        <v>89</v>
      </c>
      <c r="Q23" s="46" t="s">
        <v>89</v>
      </c>
      <c r="R23" s="46" t="s">
        <v>89</v>
      </c>
      <c r="S23" s="46" t="s">
        <v>89</v>
      </c>
      <c r="T23" s="46" t="s">
        <v>89</v>
      </c>
      <c r="U23" s="46">
        <v>113</v>
      </c>
      <c r="V23" s="46">
        <f t="shared" si="10"/>
        <v>71</v>
      </c>
      <c r="W23" s="46">
        <v>70</v>
      </c>
      <c r="X23" s="46">
        <f t="shared" si="11"/>
        <v>70</v>
      </c>
      <c r="Y23" s="46">
        <v>0</v>
      </c>
      <c r="Z23" s="46">
        <f t="shared" si="12"/>
        <v>1</v>
      </c>
      <c r="AA23" s="46">
        <v>0</v>
      </c>
      <c r="AB23" s="46">
        <v>0</v>
      </c>
      <c r="AC23" s="46">
        <v>0</v>
      </c>
      <c r="AD23" s="46">
        <v>1</v>
      </c>
      <c r="AE23" s="46">
        <v>0</v>
      </c>
      <c r="AF23" s="46">
        <v>0</v>
      </c>
      <c r="AG23" s="46">
        <v>0</v>
      </c>
      <c r="AH23" s="46">
        <f t="shared" si="13"/>
        <v>42</v>
      </c>
      <c r="AI23" s="46">
        <v>42</v>
      </c>
      <c r="AJ23" s="46">
        <v>0</v>
      </c>
      <c r="AK23" s="46">
        <v>0</v>
      </c>
      <c r="AL23" s="46">
        <v>0</v>
      </c>
      <c r="AM23" s="49">
        <v>1</v>
      </c>
      <c r="AN23" s="47">
        <v>44414</v>
      </c>
      <c r="AO23" s="46" t="s">
        <v>89</v>
      </c>
      <c r="AP23" s="46"/>
      <c r="AQ23" s="50">
        <f t="shared" si="4"/>
        <v>57</v>
      </c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52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</row>
    <row r="24" spans="1:81" ht="15" customHeight="1" x14ac:dyDescent="0.25">
      <c r="A24" s="46" t="s">
        <v>103</v>
      </c>
      <c r="B24" s="46" t="s">
        <v>93</v>
      </c>
      <c r="C24" s="46" t="s">
        <v>89</v>
      </c>
      <c r="D24" s="46">
        <v>17</v>
      </c>
      <c r="E24" s="46">
        <v>18</v>
      </c>
      <c r="F24" s="47">
        <v>44358</v>
      </c>
      <c r="G24" s="48" t="s">
        <v>89</v>
      </c>
      <c r="H24" s="48" t="s">
        <v>89</v>
      </c>
      <c r="I24" s="46" t="s">
        <v>89</v>
      </c>
      <c r="J24" s="46" t="s">
        <v>89</v>
      </c>
      <c r="K24" s="46" t="s">
        <v>89</v>
      </c>
      <c r="L24" s="46" t="s">
        <v>89</v>
      </c>
      <c r="M24" s="46" t="s">
        <v>89</v>
      </c>
      <c r="N24" s="46" t="s">
        <v>89</v>
      </c>
      <c r="O24" s="46" t="s">
        <v>89</v>
      </c>
      <c r="P24" s="46" t="s">
        <v>89</v>
      </c>
      <c r="Q24" s="46" t="s">
        <v>89</v>
      </c>
      <c r="R24" s="46" t="s">
        <v>89</v>
      </c>
      <c r="S24" s="46" t="s">
        <v>89</v>
      </c>
      <c r="T24" s="46" t="s">
        <v>89</v>
      </c>
      <c r="U24" s="46">
        <v>118</v>
      </c>
      <c r="V24" s="46">
        <f t="shared" si="10"/>
        <v>117</v>
      </c>
      <c r="W24" s="46">
        <v>117</v>
      </c>
      <c r="X24" s="46">
        <f t="shared" si="11"/>
        <v>110</v>
      </c>
      <c r="Y24" s="46">
        <v>7</v>
      </c>
      <c r="Z24" s="46">
        <f t="shared" si="12"/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f t="shared" si="13"/>
        <v>1</v>
      </c>
      <c r="AI24" s="46">
        <v>1</v>
      </c>
      <c r="AJ24" s="46">
        <v>0</v>
      </c>
      <c r="AK24" s="46">
        <v>0</v>
      </c>
      <c r="AL24" s="46">
        <v>0</v>
      </c>
      <c r="AM24" s="49">
        <v>1</v>
      </c>
      <c r="AN24" s="47">
        <v>44419</v>
      </c>
      <c r="AO24" s="46" t="s">
        <v>89</v>
      </c>
      <c r="AP24" s="46"/>
      <c r="AQ24" s="50">
        <f t="shared" si="4"/>
        <v>61</v>
      </c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52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</row>
    <row r="25" spans="1:81" ht="15" customHeight="1" x14ac:dyDescent="0.25">
      <c r="A25" s="46" t="s">
        <v>104</v>
      </c>
      <c r="B25" s="46" t="s">
        <v>88</v>
      </c>
      <c r="C25" s="46" t="s">
        <v>89</v>
      </c>
      <c r="D25" s="46">
        <v>153</v>
      </c>
      <c r="E25" s="46">
        <v>154</v>
      </c>
      <c r="F25" s="47">
        <v>44358</v>
      </c>
      <c r="G25" s="48" t="s">
        <v>89</v>
      </c>
      <c r="H25" s="48" t="s">
        <v>89</v>
      </c>
      <c r="I25" s="46" t="s">
        <v>89</v>
      </c>
      <c r="J25" s="46" t="s">
        <v>89</v>
      </c>
      <c r="K25" s="46" t="s">
        <v>89</v>
      </c>
      <c r="L25" s="46" t="s">
        <v>89</v>
      </c>
      <c r="M25" s="46" t="s">
        <v>89</v>
      </c>
      <c r="N25" s="46" t="s">
        <v>89</v>
      </c>
      <c r="O25" s="46" t="s">
        <v>89</v>
      </c>
      <c r="P25" s="46" t="s">
        <v>89</v>
      </c>
      <c r="Q25" s="46" t="s">
        <v>89</v>
      </c>
      <c r="R25" s="46" t="s">
        <v>89</v>
      </c>
      <c r="S25" s="46" t="s">
        <v>89</v>
      </c>
      <c r="T25" s="46" t="s">
        <v>89</v>
      </c>
      <c r="U25" s="46">
        <v>65</v>
      </c>
      <c r="V25" s="46">
        <f t="shared" si="10"/>
        <v>45</v>
      </c>
      <c r="W25" s="46">
        <v>45</v>
      </c>
      <c r="X25" s="46">
        <f t="shared" si="11"/>
        <v>45</v>
      </c>
      <c r="Y25" s="46">
        <v>0</v>
      </c>
      <c r="Z25" s="46">
        <f t="shared" si="12"/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f t="shared" si="13"/>
        <v>20</v>
      </c>
      <c r="AI25" s="46">
        <v>10</v>
      </c>
      <c r="AJ25" s="46">
        <v>10</v>
      </c>
      <c r="AK25" s="46">
        <v>0</v>
      </c>
      <c r="AL25" s="46">
        <v>0</v>
      </c>
      <c r="AM25" s="49">
        <v>1</v>
      </c>
      <c r="AN25" s="47">
        <v>44416</v>
      </c>
      <c r="AO25" s="46" t="s">
        <v>89</v>
      </c>
      <c r="AP25" s="46"/>
      <c r="AQ25" s="50">
        <f t="shared" si="4"/>
        <v>58</v>
      </c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52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</row>
    <row r="26" spans="1:81" ht="15" customHeight="1" x14ac:dyDescent="0.25">
      <c r="A26" s="46" t="s">
        <v>105</v>
      </c>
      <c r="B26" s="46" t="s">
        <v>93</v>
      </c>
      <c r="C26" s="46" t="s">
        <v>89</v>
      </c>
      <c r="D26" s="46">
        <v>46</v>
      </c>
      <c r="E26" s="46">
        <v>47</v>
      </c>
      <c r="F26" s="47">
        <v>44359</v>
      </c>
      <c r="G26" s="48" t="s">
        <v>89</v>
      </c>
      <c r="H26" s="48" t="s">
        <v>89</v>
      </c>
      <c r="I26" s="46" t="s">
        <v>89</v>
      </c>
      <c r="J26" s="46" t="s">
        <v>89</v>
      </c>
      <c r="K26" s="46" t="s">
        <v>89</v>
      </c>
      <c r="L26" s="46" t="s">
        <v>89</v>
      </c>
      <c r="M26" s="46" t="s">
        <v>89</v>
      </c>
      <c r="N26" s="46" t="s">
        <v>89</v>
      </c>
      <c r="O26" s="46" t="s">
        <v>89</v>
      </c>
      <c r="P26" s="46" t="s">
        <v>89</v>
      </c>
      <c r="Q26" s="46" t="s">
        <v>89</v>
      </c>
      <c r="R26" s="46" t="s">
        <v>89</v>
      </c>
      <c r="S26" s="46" t="s">
        <v>89</v>
      </c>
      <c r="T26" s="46" t="s">
        <v>89</v>
      </c>
      <c r="U26" s="46">
        <v>122</v>
      </c>
      <c r="V26" s="46">
        <f t="shared" si="10"/>
        <v>98</v>
      </c>
      <c r="W26" s="46">
        <v>97</v>
      </c>
      <c r="X26" s="46">
        <f t="shared" si="11"/>
        <v>95</v>
      </c>
      <c r="Y26" s="46">
        <v>2</v>
      </c>
      <c r="Z26" s="46">
        <f t="shared" si="12"/>
        <v>1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1</v>
      </c>
      <c r="AH26" s="46">
        <f t="shared" si="13"/>
        <v>24</v>
      </c>
      <c r="AI26" s="46">
        <v>21</v>
      </c>
      <c r="AJ26" s="46">
        <v>3</v>
      </c>
      <c r="AK26" s="46">
        <v>0</v>
      </c>
      <c r="AL26" s="46">
        <v>0</v>
      </c>
      <c r="AM26" s="49">
        <v>1</v>
      </c>
      <c r="AN26" s="47">
        <v>44425</v>
      </c>
      <c r="AO26" s="47">
        <v>44422</v>
      </c>
      <c r="AP26" s="46"/>
      <c r="AQ26" s="50">
        <f t="shared" si="4"/>
        <v>66</v>
      </c>
      <c r="AR26" s="47">
        <v>44423</v>
      </c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52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</row>
    <row r="27" spans="1:81" ht="15" customHeight="1" x14ac:dyDescent="0.25">
      <c r="A27" s="46" t="s">
        <v>106</v>
      </c>
      <c r="B27" s="46" t="s">
        <v>93</v>
      </c>
      <c r="C27" s="46" t="s">
        <v>89</v>
      </c>
      <c r="D27" s="46">
        <v>40</v>
      </c>
      <c r="E27" s="46">
        <v>41</v>
      </c>
      <c r="F27" s="47">
        <v>44360</v>
      </c>
      <c r="G27" s="48" t="s">
        <v>89</v>
      </c>
      <c r="H27" s="48" t="s">
        <v>89</v>
      </c>
      <c r="I27" s="46" t="s">
        <v>89</v>
      </c>
      <c r="J27" s="46" t="s">
        <v>89</v>
      </c>
      <c r="K27" s="46" t="s">
        <v>89</v>
      </c>
      <c r="L27" s="46" t="s">
        <v>89</v>
      </c>
      <c r="M27" s="46" t="s">
        <v>89</v>
      </c>
      <c r="N27" s="46" t="s">
        <v>89</v>
      </c>
      <c r="O27" s="46" t="s">
        <v>89</v>
      </c>
      <c r="P27" s="46" t="s">
        <v>89</v>
      </c>
      <c r="Q27" s="46" t="s">
        <v>89</v>
      </c>
      <c r="R27" s="46" t="s">
        <v>89</v>
      </c>
      <c r="S27" s="46" t="s">
        <v>89</v>
      </c>
      <c r="T27" s="46" t="s">
        <v>89</v>
      </c>
      <c r="U27" s="46">
        <v>104</v>
      </c>
      <c r="V27" s="46">
        <f t="shared" si="10"/>
        <v>48</v>
      </c>
      <c r="W27" s="46">
        <v>44</v>
      </c>
      <c r="X27" s="46">
        <f t="shared" si="11"/>
        <v>44</v>
      </c>
      <c r="Y27" s="46">
        <v>0</v>
      </c>
      <c r="Z27" s="46">
        <f t="shared" si="12"/>
        <v>4</v>
      </c>
      <c r="AA27" s="46">
        <v>0</v>
      </c>
      <c r="AB27" s="46">
        <v>0</v>
      </c>
      <c r="AC27" s="46">
        <v>0</v>
      </c>
      <c r="AD27" s="46">
        <v>1</v>
      </c>
      <c r="AE27" s="46">
        <v>0</v>
      </c>
      <c r="AF27" s="46">
        <v>0</v>
      </c>
      <c r="AG27" s="46">
        <v>3</v>
      </c>
      <c r="AH27" s="46">
        <f t="shared" si="13"/>
        <v>56</v>
      </c>
      <c r="AI27" s="46">
        <v>55</v>
      </c>
      <c r="AJ27" s="46">
        <v>1</v>
      </c>
      <c r="AK27" s="46">
        <v>0</v>
      </c>
      <c r="AL27" s="46">
        <v>0</v>
      </c>
      <c r="AM27" s="49">
        <v>1</v>
      </c>
      <c r="AN27" s="47">
        <v>44424</v>
      </c>
      <c r="AO27" s="47">
        <v>44422</v>
      </c>
      <c r="AP27" s="46"/>
      <c r="AQ27" s="50">
        <f t="shared" si="4"/>
        <v>64</v>
      </c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52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</row>
    <row r="28" spans="1:81" ht="15" customHeight="1" x14ac:dyDescent="0.25">
      <c r="A28" s="46" t="s">
        <v>107</v>
      </c>
      <c r="B28" s="46" t="s">
        <v>88</v>
      </c>
      <c r="C28" s="46" t="s">
        <v>89</v>
      </c>
      <c r="D28" s="46">
        <v>114</v>
      </c>
      <c r="E28" s="46">
        <v>115</v>
      </c>
      <c r="F28" s="47">
        <v>44360</v>
      </c>
      <c r="G28" s="48" t="s">
        <v>89</v>
      </c>
      <c r="H28" s="48" t="s">
        <v>89</v>
      </c>
      <c r="I28" s="46" t="s">
        <v>89</v>
      </c>
      <c r="J28" s="46" t="s">
        <v>89</v>
      </c>
      <c r="K28" s="46" t="s">
        <v>89</v>
      </c>
      <c r="L28" s="46" t="s">
        <v>89</v>
      </c>
      <c r="M28" s="46" t="s">
        <v>89</v>
      </c>
      <c r="N28" s="46" t="s">
        <v>89</v>
      </c>
      <c r="O28" s="46" t="s">
        <v>89</v>
      </c>
      <c r="P28" s="46" t="s">
        <v>89</v>
      </c>
      <c r="Q28" s="46" t="s">
        <v>89</v>
      </c>
      <c r="R28" s="46" t="s">
        <v>89</v>
      </c>
      <c r="S28" s="46" t="s">
        <v>89</v>
      </c>
      <c r="T28" s="46" t="s">
        <v>89</v>
      </c>
      <c r="U28" s="53">
        <v>149</v>
      </c>
      <c r="V28" s="46">
        <f t="shared" si="10"/>
        <v>149</v>
      </c>
      <c r="W28" s="46">
        <v>145</v>
      </c>
      <c r="X28" s="46">
        <f t="shared" si="11"/>
        <v>145</v>
      </c>
      <c r="Y28" s="46">
        <v>0</v>
      </c>
      <c r="Z28" s="46">
        <f t="shared" si="12"/>
        <v>4</v>
      </c>
      <c r="AA28" s="46">
        <v>2</v>
      </c>
      <c r="AB28" s="46">
        <v>2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f t="shared" si="13"/>
        <v>0</v>
      </c>
      <c r="AI28" s="46" t="s">
        <v>89</v>
      </c>
      <c r="AJ28" s="46">
        <v>0</v>
      </c>
      <c r="AK28" s="46">
        <v>0</v>
      </c>
      <c r="AL28" s="46">
        <v>0</v>
      </c>
      <c r="AM28" s="49">
        <v>1</v>
      </c>
      <c r="AN28" s="47">
        <v>44414</v>
      </c>
      <c r="AO28" s="47">
        <v>44411</v>
      </c>
      <c r="AP28" s="46"/>
      <c r="AQ28" s="50">
        <f t="shared" si="4"/>
        <v>54</v>
      </c>
      <c r="AR28" s="47">
        <v>44412</v>
      </c>
      <c r="AS28" s="46"/>
      <c r="AT28" s="46" t="s">
        <v>108</v>
      </c>
      <c r="AU28" s="47">
        <v>44413</v>
      </c>
      <c r="AV28" s="46"/>
      <c r="AW28" s="46"/>
      <c r="AX28" s="47">
        <v>44414</v>
      </c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52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</row>
    <row r="29" spans="1:81" ht="15" customHeight="1" x14ac:dyDescent="0.25">
      <c r="A29" s="46" t="s">
        <v>109</v>
      </c>
      <c r="B29" s="46" t="s">
        <v>88</v>
      </c>
      <c r="C29" s="46" t="s">
        <v>89</v>
      </c>
      <c r="D29" s="46">
        <v>135</v>
      </c>
      <c r="E29" s="46">
        <v>136</v>
      </c>
      <c r="F29" s="47">
        <v>44362</v>
      </c>
      <c r="G29" s="48" t="s">
        <v>89</v>
      </c>
      <c r="H29" s="48" t="s">
        <v>89</v>
      </c>
      <c r="I29" s="46" t="s">
        <v>89</v>
      </c>
      <c r="J29" s="46" t="s">
        <v>89</v>
      </c>
      <c r="K29" s="46" t="s">
        <v>89</v>
      </c>
      <c r="L29" s="46" t="s">
        <v>89</v>
      </c>
      <c r="M29" s="46" t="s">
        <v>89</v>
      </c>
      <c r="N29" s="46" t="s">
        <v>89</v>
      </c>
      <c r="O29" s="46" t="s">
        <v>89</v>
      </c>
      <c r="P29" s="46" t="s">
        <v>89</v>
      </c>
      <c r="Q29" s="46" t="s">
        <v>89</v>
      </c>
      <c r="R29" s="46" t="s">
        <v>89</v>
      </c>
      <c r="S29" s="46" t="s">
        <v>89</v>
      </c>
      <c r="T29" s="46" t="s">
        <v>89</v>
      </c>
      <c r="U29" s="46">
        <v>149</v>
      </c>
      <c r="V29" s="46">
        <f t="shared" si="10"/>
        <v>145</v>
      </c>
      <c r="W29" s="46">
        <v>145</v>
      </c>
      <c r="X29" s="46">
        <f t="shared" si="11"/>
        <v>145</v>
      </c>
      <c r="Y29" s="46">
        <v>0</v>
      </c>
      <c r="Z29" s="46">
        <f t="shared" si="12"/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f t="shared" si="13"/>
        <v>0</v>
      </c>
      <c r="AI29" s="46">
        <v>0</v>
      </c>
      <c r="AJ29" s="46">
        <v>0</v>
      </c>
      <c r="AK29" s="46">
        <v>0</v>
      </c>
      <c r="AL29" s="46">
        <v>0</v>
      </c>
      <c r="AM29" s="49">
        <v>1</v>
      </c>
      <c r="AN29" s="46" t="s">
        <v>89</v>
      </c>
      <c r="AO29" s="46" t="s">
        <v>89</v>
      </c>
      <c r="AP29" s="46"/>
      <c r="AQ29" s="50" t="str">
        <f t="shared" si="4"/>
        <v>N.A.</v>
      </c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52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</row>
    <row r="30" spans="1:81" ht="15" customHeight="1" x14ac:dyDescent="0.25">
      <c r="A30" s="46" t="s">
        <v>110</v>
      </c>
      <c r="B30" s="46" t="s">
        <v>88</v>
      </c>
      <c r="C30" s="46" t="s">
        <v>89</v>
      </c>
      <c r="D30" s="46">
        <v>153</v>
      </c>
      <c r="E30" s="46">
        <v>154</v>
      </c>
      <c r="F30" s="47">
        <v>44362</v>
      </c>
      <c r="G30" s="48" t="s">
        <v>89</v>
      </c>
      <c r="H30" s="48" t="s">
        <v>89</v>
      </c>
      <c r="I30" s="46" t="s">
        <v>89</v>
      </c>
      <c r="J30" s="46" t="s">
        <v>89</v>
      </c>
      <c r="K30" s="46" t="s">
        <v>89</v>
      </c>
      <c r="L30" s="46" t="s">
        <v>89</v>
      </c>
      <c r="M30" s="46" t="s">
        <v>89</v>
      </c>
      <c r="N30" s="46" t="s">
        <v>89</v>
      </c>
      <c r="O30" s="46" t="s">
        <v>89</v>
      </c>
      <c r="P30" s="46" t="s">
        <v>89</v>
      </c>
      <c r="Q30" s="46" t="s">
        <v>89</v>
      </c>
      <c r="R30" s="46" t="s">
        <v>89</v>
      </c>
      <c r="S30" s="46" t="s">
        <v>89</v>
      </c>
      <c r="T30" s="46" t="s">
        <v>89</v>
      </c>
      <c r="U30" s="46">
        <v>114</v>
      </c>
      <c r="V30" s="46">
        <f t="shared" si="10"/>
        <v>105</v>
      </c>
      <c r="W30" s="46">
        <v>103</v>
      </c>
      <c r="X30" s="46">
        <f t="shared" si="11"/>
        <v>99</v>
      </c>
      <c r="Y30" s="46">
        <v>4</v>
      </c>
      <c r="Z30" s="46">
        <f t="shared" si="12"/>
        <v>2</v>
      </c>
      <c r="AA30" s="46">
        <v>0</v>
      </c>
      <c r="AB30" s="46">
        <v>1</v>
      </c>
      <c r="AC30" s="46">
        <v>0</v>
      </c>
      <c r="AD30" s="46">
        <v>0</v>
      </c>
      <c r="AE30" s="46">
        <v>0</v>
      </c>
      <c r="AF30" s="46">
        <v>0</v>
      </c>
      <c r="AG30" s="46">
        <v>1</v>
      </c>
      <c r="AH30" s="46">
        <f t="shared" si="13"/>
        <v>9</v>
      </c>
      <c r="AI30" s="46">
        <v>7</v>
      </c>
      <c r="AJ30" s="46">
        <v>2</v>
      </c>
      <c r="AK30" s="46">
        <v>0</v>
      </c>
      <c r="AL30" s="46">
        <v>0</v>
      </c>
      <c r="AM30" s="49">
        <v>1</v>
      </c>
      <c r="AN30" s="47">
        <v>44419</v>
      </c>
      <c r="AO30" s="46" t="s">
        <v>89</v>
      </c>
      <c r="AP30" s="46"/>
      <c r="AQ30" s="50">
        <f t="shared" si="4"/>
        <v>57</v>
      </c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52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</row>
    <row r="31" spans="1:81" ht="15" customHeight="1" x14ac:dyDescent="0.25">
      <c r="A31" s="46" t="s">
        <v>111</v>
      </c>
      <c r="B31" s="46" t="s">
        <v>93</v>
      </c>
      <c r="C31" s="46" t="s">
        <v>89</v>
      </c>
      <c r="D31" s="46">
        <v>34</v>
      </c>
      <c r="E31" s="46">
        <v>35</v>
      </c>
      <c r="F31" s="47">
        <v>44363</v>
      </c>
      <c r="G31" s="48" t="s">
        <v>89</v>
      </c>
      <c r="H31" s="48" t="s">
        <v>89</v>
      </c>
      <c r="I31" s="46" t="s">
        <v>89</v>
      </c>
      <c r="J31" s="46" t="s">
        <v>89</v>
      </c>
      <c r="K31" s="46" t="s">
        <v>89</v>
      </c>
      <c r="L31" s="46" t="s">
        <v>89</v>
      </c>
      <c r="M31" s="46" t="s">
        <v>89</v>
      </c>
      <c r="N31" s="46" t="s">
        <v>89</v>
      </c>
      <c r="O31" s="46" t="s">
        <v>89</v>
      </c>
      <c r="P31" s="46" t="s">
        <v>89</v>
      </c>
      <c r="Q31" s="46" t="s">
        <v>89</v>
      </c>
      <c r="R31" s="46" t="s">
        <v>89</v>
      </c>
      <c r="S31" s="46" t="s">
        <v>89</v>
      </c>
      <c r="T31" s="46" t="s">
        <v>89</v>
      </c>
      <c r="U31" s="46">
        <v>137</v>
      </c>
      <c r="V31" s="46">
        <f t="shared" si="10"/>
        <v>99</v>
      </c>
      <c r="W31" s="46">
        <v>99</v>
      </c>
      <c r="X31" s="46">
        <f t="shared" si="11"/>
        <v>98</v>
      </c>
      <c r="Y31" s="46">
        <v>1</v>
      </c>
      <c r="Z31" s="46">
        <f t="shared" si="12"/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f t="shared" si="13"/>
        <v>38</v>
      </c>
      <c r="AI31" s="46">
        <v>38</v>
      </c>
      <c r="AJ31" s="46">
        <v>0</v>
      </c>
      <c r="AK31" s="46">
        <v>0</v>
      </c>
      <c r="AL31" s="46">
        <v>0</v>
      </c>
      <c r="AM31" s="49">
        <v>1</v>
      </c>
      <c r="AN31" s="47">
        <v>44421</v>
      </c>
      <c r="AO31" s="46" t="s">
        <v>89</v>
      </c>
      <c r="AP31" s="46"/>
      <c r="AQ31" s="50">
        <f t="shared" si="4"/>
        <v>58</v>
      </c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52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</row>
    <row r="32" spans="1:81" ht="15" customHeight="1" x14ac:dyDescent="0.25">
      <c r="A32" s="46" t="s">
        <v>112</v>
      </c>
      <c r="B32" s="46" t="s">
        <v>93</v>
      </c>
      <c r="C32" s="46" t="s">
        <v>89</v>
      </c>
      <c r="D32" s="46">
        <v>17</v>
      </c>
      <c r="E32" s="46">
        <v>18</v>
      </c>
      <c r="F32" s="47">
        <v>44364</v>
      </c>
      <c r="G32" s="48" t="s">
        <v>89</v>
      </c>
      <c r="H32" s="48" t="s">
        <v>89</v>
      </c>
      <c r="I32" s="46" t="s">
        <v>89</v>
      </c>
      <c r="J32" s="46" t="s">
        <v>89</v>
      </c>
      <c r="K32" s="46" t="s">
        <v>89</v>
      </c>
      <c r="L32" s="46" t="s">
        <v>89</v>
      </c>
      <c r="M32" s="46" t="s">
        <v>89</v>
      </c>
      <c r="N32" s="46" t="s">
        <v>89</v>
      </c>
      <c r="O32" s="46" t="s">
        <v>89</v>
      </c>
      <c r="P32" s="46" t="s">
        <v>89</v>
      </c>
      <c r="Q32" s="46" t="s">
        <v>89</v>
      </c>
      <c r="R32" s="46" t="s">
        <v>89</v>
      </c>
      <c r="S32" s="46" t="s">
        <v>89</v>
      </c>
      <c r="T32" s="46" t="s">
        <v>89</v>
      </c>
      <c r="U32" s="46">
        <v>111</v>
      </c>
      <c r="V32" s="46">
        <f t="shared" si="10"/>
        <v>57</v>
      </c>
      <c r="W32" s="46">
        <v>54</v>
      </c>
      <c r="X32" s="46">
        <f t="shared" si="11"/>
        <v>54</v>
      </c>
      <c r="Y32" s="46">
        <v>0</v>
      </c>
      <c r="Z32" s="46">
        <f t="shared" si="12"/>
        <v>3</v>
      </c>
      <c r="AA32" s="46">
        <v>1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2</v>
      </c>
      <c r="AH32" s="46">
        <f t="shared" si="13"/>
        <v>54</v>
      </c>
      <c r="AI32" s="46">
        <v>54</v>
      </c>
      <c r="AJ32" s="46">
        <v>0</v>
      </c>
      <c r="AK32" s="46">
        <v>0</v>
      </c>
      <c r="AL32" s="46">
        <v>0</v>
      </c>
      <c r="AM32" s="49">
        <v>1</v>
      </c>
      <c r="AN32" s="47">
        <v>44421</v>
      </c>
      <c r="AO32" s="47">
        <v>44418</v>
      </c>
      <c r="AP32" s="46"/>
      <c r="AQ32" s="50">
        <f t="shared" si="4"/>
        <v>57</v>
      </c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52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</row>
    <row r="33" spans="1:81" ht="15" customHeight="1" x14ac:dyDescent="0.25">
      <c r="A33" s="46" t="s">
        <v>113</v>
      </c>
      <c r="B33" s="46" t="s">
        <v>93</v>
      </c>
      <c r="C33" s="46" t="s">
        <v>89</v>
      </c>
      <c r="D33" s="46">
        <v>57</v>
      </c>
      <c r="E33" s="46">
        <v>58</v>
      </c>
      <c r="F33" s="47">
        <v>44364</v>
      </c>
      <c r="G33" s="48" t="s">
        <v>89</v>
      </c>
      <c r="H33" s="48" t="s">
        <v>89</v>
      </c>
      <c r="I33" s="46" t="s">
        <v>89</v>
      </c>
      <c r="J33" s="46" t="s">
        <v>89</v>
      </c>
      <c r="K33" s="46" t="s">
        <v>89</v>
      </c>
      <c r="L33" s="46" t="s">
        <v>89</v>
      </c>
      <c r="M33" s="46" t="s">
        <v>89</v>
      </c>
      <c r="N33" s="46" t="s">
        <v>89</v>
      </c>
      <c r="O33" s="46" t="s">
        <v>89</v>
      </c>
      <c r="P33" s="46" t="s">
        <v>89</v>
      </c>
      <c r="Q33" s="46" t="s">
        <v>89</v>
      </c>
      <c r="R33" s="46" t="s">
        <v>89</v>
      </c>
      <c r="S33" s="46" t="s">
        <v>89</v>
      </c>
      <c r="T33" s="46" t="s">
        <v>89</v>
      </c>
      <c r="U33" s="46" t="s">
        <v>89</v>
      </c>
      <c r="V33" s="46" t="s">
        <v>89</v>
      </c>
      <c r="W33" s="46" t="s">
        <v>89</v>
      </c>
      <c r="X33" s="46" t="s">
        <v>89</v>
      </c>
      <c r="Y33" s="46" t="s">
        <v>89</v>
      </c>
      <c r="Z33" s="46" t="s">
        <v>89</v>
      </c>
      <c r="AA33" s="46" t="s">
        <v>89</v>
      </c>
      <c r="AB33" s="46" t="s">
        <v>89</v>
      </c>
      <c r="AC33" s="46" t="s">
        <v>89</v>
      </c>
      <c r="AD33" s="46" t="s">
        <v>89</v>
      </c>
      <c r="AE33" s="46" t="s">
        <v>89</v>
      </c>
      <c r="AF33" s="46" t="s">
        <v>89</v>
      </c>
      <c r="AG33" s="46" t="s">
        <v>89</v>
      </c>
      <c r="AH33" s="46" t="s">
        <v>89</v>
      </c>
      <c r="AI33" s="46" t="s">
        <v>89</v>
      </c>
      <c r="AJ33" s="46" t="s">
        <v>89</v>
      </c>
      <c r="AK33" s="46">
        <v>0</v>
      </c>
      <c r="AL33" s="46">
        <v>0</v>
      </c>
      <c r="AM33" s="49">
        <v>1</v>
      </c>
      <c r="AN33" s="46" t="s">
        <v>89</v>
      </c>
      <c r="AO33" s="46" t="s">
        <v>89</v>
      </c>
      <c r="AP33" s="46"/>
      <c r="AQ33" s="50" t="str">
        <f t="shared" si="4"/>
        <v>N.A.</v>
      </c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52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</row>
    <row r="34" spans="1:81" ht="15" customHeight="1" x14ac:dyDescent="0.25">
      <c r="A34" s="46" t="s">
        <v>114</v>
      </c>
      <c r="B34" s="46" t="s">
        <v>93</v>
      </c>
      <c r="C34" s="46" t="s">
        <v>89</v>
      </c>
      <c r="D34" s="46">
        <v>47</v>
      </c>
      <c r="E34" s="46">
        <v>48</v>
      </c>
      <c r="F34" s="47">
        <v>44365</v>
      </c>
      <c r="G34" s="48" t="s">
        <v>89</v>
      </c>
      <c r="H34" s="48" t="s">
        <v>89</v>
      </c>
      <c r="I34" s="46" t="s">
        <v>89</v>
      </c>
      <c r="J34" s="46" t="s">
        <v>89</v>
      </c>
      <c r="K34" s="46" t="s">
        <v>89</v>
      </c>
      <c r="L34" s="46" t="s">
        <v>89</v>
      </c>
      <c r="M34" s="46" t="s">
        <v>89</v>
      </c>
      <c r="N34" s="46" t="s">
        <v>89</v>
      </c>
      <c r="O34" s="46" t="s">
        <v>89</v>
      </c>
      <c r="P34" s="46" t="s">
        <v>89</v>
      </c>
      <c r="Q34" s="46" t="s">
        <v>89</v>
      </c>
      <c r="R34" s="46" t="s">
        <v>89</v>
      </c>
      <c r="S34" s="46" t="s">
        <v>89</v>
      </c>
      <c r="T34" s="46" t="s">
        <v>89</v>
      </c>
      <c r="U34" s="46">
        <v>129</v>
      </c>
      <c r="V34" s="46">
        <f t="shared" ref="V34:V39" si="14">W34+Z34</f>
        <v>121</v>
      </c>
      <c r="W34" s="46">
        <v>118</v>
      </c>
      <c r="X34" s="46">
        <f t="shared" ref="X34:X38" si="15">W34-Y34</f>
        <v>118</v>
      </c>
      <c r="Y34" s="46">
        <v>0</v>
      </c>
      <c r="Z34" s="46">
        <f t="shared" ref="Z34:Z39" si="16">SUM(AA34:AG34)</f>
        <v>3</v>
      </c>
      <c r="AA34" s="46">
        <v>0</v>
      </c>
      <c r="AB34" s="46">
        <v>0</v>
      </c>
      <c r="AC34" s="46">
        <v>0</v>
      </c>
      <c r="AD34" s="46">
        <v>3</v>
      </c>
      <c r="AE34" s="46">
        <v>0</v>
      </c>
      <c r="AF34" s="46">
        <v>0</v>
      </c>
      <c r="AG34" s="46">
        <v>0</v>
      </c>
      <c r="AH34" s="46">
        <f t="shared" ref="AH34:AH39" si="17">SUM(AI34:AL34)</f>
        <v>8</v>
      </c>
      <c r="AI34" s="46">
        <v>8</v>
      </c>
      <c r="AJ34" s="46">
        <v>0</v>
      </c>
      <c r="AK34" s="46">
        <v>0</v>
      </c>
      <c r="AL34" s="46">
        <v>0</v>
      </c>
      <c r="AM34" s="49">
        <v>1</v>
      </c>
      <c r="AN34" s="47">
        <v>44422</v>
      </c>
      <c r="AO34" s="47">
        <v>44418</v>
      </c>
      <c r="AP34" s="46"/>
      <c r="AQ34" s="50">
        <f t="shared" si="4"/>
        <v>57</v>
      </c>
      <c r="AR34" s="54">
        <v>44420</v>
      </c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52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</row>
    <row r="35" spans="1:81" ht="15" customHeight="1" x14ac:dyDescent="0.25">
      <c r="A35" s="46" t="s">
        <v>115</v>
      </c>
      <c r="B35" s="46" t="s">
        <v>88</v>
      </c>
      <c r="C35" s="46" t="s">
        <v>89</v>
      </c>
      <c r="D35" s="46">
        <v>152</v>
      </c>
      <c r="E35" s="46">
        <v>153</v>
      </c>
      <c r="F35" s="47">
        <v>44365</v>
      </c>
      <c r="G35" s="48" t="s">
        <v>89</v>
      </c>
      <c r="H35" s="48" t="s">
        <v>89</v>
      </c>
      <c r="I35" s="46" t="s">
        <v>89</v>
      </c>
      <c r="J35" s="46" t="s">
        <v>89</v>
      </c>
      <c r="K35" s="46" t="s">
        <v>89</v>
      </c>
      <c r="L35" s="46" t="s">
        <v>89</v>
      </c>
      <c r="M35" s="46" t="s">
        <v>89</v>
      </c>
      <c r="N35" s="46" t="s">
        <v>89</v>
      </c>
      <c r="O35" s="46" t="s">
        <v>89</v>
      </c>
      <c r="P35" s="46" t="s">
        <v>89</v>
      </c>
      <c r="Q35" s="46" t="s">
        <v>89</v>
      </c>
      <c r="R35" s="46" t="s">
        <v>89</v>
      </c>
      <c r="S35" s="46" t="s">
        <v>89</v>
      </c>
      <c r="T35" s="46" t="s">
        <v>89</v>
      </c>
      <c r="U35" s="46">
        <v>160</v>
      </c>
      <c r="V35" s="46">
        <f t="shared" si="14"/>
        <v>90</v>
      </c>
      <c r="W35" s="46">
        <v>84</v>
      </c>
      <c r="X35" s="46">
        <f t="shared" si="15"/>
        <v>82</v>
      </c>
      <c r="Y35" s="46">
        <v>2</v>
      </c>
      <c r="Z35" s="46">
        <f t="shared" si="16"/>
        <v>6</v>
      </c>
      <c r="AA35" s="46">
        <v>1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5</v>
      </c>
      <c r="AH35" s="46">
        <f t="shared" si="17"/>
        <v>70</v>
      </c>
      <c r="AI35" s="46">
        <v>64</v>
      </c>
      <c r="AJ35" s="46">
        <v>6</v>
      </c>
      <c r="AK35" s="46">
        <v>0</v>
      </c>
      <c r="AL35" s="46">
        <v>0</v>
      </c>
      <c r="AM35" s="49">
        <v>1</v>
      </c>
      <c r="AN35" s="47">
        <v>44422</v>
      </c>
      <c r="AO35" s="47">
        <v>44421</v>
      </c>
      <c r="AP35" s="46"/>
      <c r="AQ35" s="50">
        <f t="shared" si="4"/>
        <v>57</v>
      </c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52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</row>
    <row r="36" spans="1:81" ht="15" customHeight="1" x14ac:dyDescent="0.25">
      <c r="A36" s="46" t="s">
        <v>116</v>
      </c>
      <c r="B36" s="46" t="s">
        <v>88</v>
      </c>
      <c r="C36" s="46" t="s">
        <v>89</v>
      </c>
      <c r="D36" s="46">
        <v>15</v>
      </c>
      <c r="E36" s="46">
        <v>16</v>
      </c>
      <c r="F36" s="47">
        <v>44366</v>
      </c>
      <c r="G36" s="48" t="s">
        <v>89</v>
      </c>
      <c r="H36" s="48" t="s">
        <v>89</v>
      </c>
      <c r="I36" s="46" t="s">
        <v>89</v>
      </c>
      <c r="J36" s="46" t="s">
        <v>89</v>
      </c>
      <c r="K36" s="46" t="s">
        <v>89</v>
      </c>
      <c r="L36" s="46" t="s">
        <v>89</v>
      </c>
      <c r="M36" s="46" t="s">
        <v>89</v>
      </c>
      <c r="N36" s="46" t="s">
        <v>89</v>
      </c>
      <c r="O36" s="46" t="s">
        <v>89</v>
      </c>
      <c r="P36" s="46" t="s">
        <v>89</v>
      </c>
      <c r="Q36" s="46" t="s">
        <v>89</v>
      </c>
      <c r="R36" s="46" t="s">
        <v>89</v>
      </c>
      <c r="S36" s="46" t="s">
        <v>89</v>
      </c>
      <c r="T36" s="46" t="s">
        <v>89</v>
      </c>
      <c r="U36" s="46">
        <v>126</v>
      </c>
      <c r="V36" s="46">
        <f t="shared" si="14"/>
        <v>119</v>
      </c>
      <c r="W36" s="46">
        <v>115</v>
      </c>
      <c r="X36" s="46">
        <f t="shared" si="15"/>
        <v>115</v>
      </c>
      <c r="Y36" s="46">
        <v>0</v>
      </c>
      <c r="Z36" s="46">
        <f t="shared" si="16"/>
        <v>4</v>
      </c>
      <c r="AA36" s="46">
        <v>3</v>
      </c>
      <c r="AB36" s="46">
        <v>0</v>
      </c>
      <c r="AC36" s="46">
        <v>1</v>
      </c>
      <c r="AD36" s="46">
        <v>0</v>
      </c>
      <c r="AE36" s="46">
        <v>0</v>
      </c>
      <c r="AF36" s="46">
        <v>0</v>
      </c>
      <c r="AG36" s="46">
        <v>0</v>
      </c>
      <c r="AH36" s="46">
        <f t="shared" si="17"/>
        <v>7</v>
      </c>
      <c r="AI36" s="46">
        <v>4</v>
      </c>
      <c r="AJ36" s="46">
        <v>0</v>
      </c>
      <c r="AK36" s="46">
        <v>0</v>
      </c>
      <c r="AL36" s="46">
        <v>3</v>
      </c>
      <c r="AM36" s="49">
        <v>1</v>
      </c>
      <c r="AN36" s="47">
        <v>44419</v>
      </c>
      <c r="AO36" s="47">
        <v>44413</v>
      </c>
      <c r="AP36" s="46"/>
      <c r="AQ36" s="50">
        <f t="shared" si="4"/>
        <v>53</v>
      </c>
      <c r="AR36" s="47">
        <v>44415</v>
      </c>
      <c r="AS36" s="46"/>
      <c r="AT36" s="46" t="s">
        <v>108</v>
      </c>
      <c r="AU36" s="47">
        <v>44416</v>
      </c>
      <c r="AV36" s="46"/>
      <c r="AW36" s="46" t="s">
        <v>108</v>
      </c>
      <c r="AX36" s="47">
        <v>44417</v>
      </c>
      <c r="AY36" s="46"/>
      <c r="AZ36" s="46"/>
      <c r="BA36" s="46"/>
      <c r="BB36" s="46"/>
      <c r="BC36" s="47"/>
      <c r="BD36" s="46"/>
      <c r="BE36" s="46"/>
      <c r="BF36" s="46"/>
      <c r="BG36" s="46"/>
      <c r="BH36" s="46"/>
      <c r="BI36" s="46"/>
      <c r="BJ36" s="52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</row>
    <row r="37" spans="1:81" ht="15" customHeight="1" x14ac:dyDescent="0.25">
      <c r="A37" s="46" t="s">
        <v>117</v>
      </c>
      <c r="B37" s="46" t="s">
        <v>88</v>
      </c>
      <c r="C37" s="46" t="s">
        <v>89</v>
      </c>
      <c r="D37" s="46">
        <v>139</v>
      </c>
      <c r="E37" s="46">
        <v>140</v>
      </c>
      <c r="F37" s="47">
        <v>44366</v>
      </c>
      <c r="G37" s="48" t="s">
        <v>89</v>
      </c>
      <c r="H37" s="48" t="s">
        <v>89</v>
      </c>
      <c r="I37" s="46" t="s">
        <v>89</v>
      </c>
      <c r="J37" s="46" t="s">
        <v>89</v>
      </c>
      <c r="K37" s="46" t="s">
        <v>89</v>
      </c>
      <c r="L37" s="46" t="s">
        <v>89</v>
      </c>
      <c r="M37" s="46" t="s">
        <v>89</v>
      </c>
      <c r="N37" s="46" t="s">
        <v>89</v>
      </c>
      <c r="O37" s="46" t="s">
        <v>89</v>
      </c>
      <c r="P37" s="46" t="s">
        <v>89</v>
      </c>
      <c r="Q37" s="46" t="s">
        <v>89</v>
      </c>
      <c r="R37" s="46" t="s">
        <v>89</v>
      </c>
      <c r="S37" s="46" t="s">
        <v>89</v>
      </c>
      <c r="T37" s="46" t="s">
        <v>89</v>
      </c>
      <c r="U37" s="46">
        <v>107</v>
      </c>
      <c r="V37" s="46">
        <f t="shared" si="14"/>
        <v>89</v>
      </c>
      <c r="W37" s="46">
        <v>86</v>
      </c>
      <c r="X37" s="46">
        <f t="shared" si="15"/>
        <v>86</v>
      </c>
      <c r="Y37" s="46">
        <v>0</v>
      </c>
      <c r="Z37" s="46">
        <f t="shared" si="16"/>
        <v>3</v>
      </c>
      <c r="AA37" s="46">
        <v>1</v>
      </c>
      <c r="AB37" s="46">
        <v>0</v>
      </c>
      <c r="AC37" s="46">
        <v>1</v>
      </c>
      <c r="AD37" s="46">
        <v>0</v>
      </c>
      <c r="AE37" s="46">
        <v>1</v>
      </c>
      <c r="AF37" s="46">
        <v>0</v>
      </c>
      <c r="AG37" s="46">
        <v>0</v>
      </c>
      <c r="AH37" s="46">
        <f t="shared" si="17"/>
        <v>18</v>
      </c>
      <c r="AI37" s="46">
        <v>17</v>
      </c>
      <c r="AJ37" s="46">
        <v>0</v>
      </c>
      <c r="AK37" s="46">
        <v>0</v>
      </c>
      <c r="AL37" s="46">
        <v>1</v>
      </c>
      <c r="AM37" s="49">
        <v>1</v>
      </c>
      <c r="AN37" s="47">
        <v>44412</v>
      </c>
      <c r="AO37" s="46" t="s">
        <v>89</v>
      </c>
      <c r="AP37" s="46"/>
      <c r="AQ37" s="50">
        <f t="shared" si="4"/>
        <v>46</v>
      </c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52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</row>
    <row r="38" spans="1:81" ht="15" customHeight="1" x14ac:dyDescent="0.25">
      <c r="A38" s="46" t="s">
        <v>118</v>
      </c>
      <c r="B38" s="46" t="s">
        <v>93</v>
      </c>
      <c r="C38" s="46" t="s">
        <v>89</v>
      </c>
      <c r="D38" s="46">
        <v>135</v>
      </c>
      <c r="E38" s="46">
        <v>136</v>
      </c>
      <c r="F38" s="47">
        <v>44366</v>
      </c>
      <c r="G38" s="48" t="s">
        <v>89</v>
      </c>
      <c r="H38" s="48" t="s">
        <v>89</v>
      </c>
      <c r="I38" s="48" t="s">
        <v>89</v>
      </c>
      <c r="J38" s="48" t="s">
        <v>89</v>
      </c>
      <c r="K38" s="48" t="s">
        <v>89</v>
      </c>
      <c r="L38" s="48" t="s">
        <v>89</v>
      </c>
      <c r="M38" s="48" t="s">
        <v>89</v>
      </c>
      <c r="N38" s="48" t="s">
        <v>89</v>
      </c>
      <c r="O38" s="48" t="s">
        <v>89</v>
      </c>
      <c r="P38" s="48" t="s">
        <v>89</v>
      </c>
      <c r="Q38" s="48" t="s">
        <v>89</v>
      </c>
      <c r="R38" s="48" t="s">
        <v>89</v>
      </c>
      <c r="S38" s="48" t="s">
        <v>89</v>
      </c>
      <c r="T38" s="48" t="s">
        <v>89</v>
      </c>
      <c r="U38" s="46">
        <v>81</v>
      </c>
      <c r="V38" s="46">
        <f t="shared" si="14"/>
        <v>79</v>
      </c>
      <c r="W38" s="46">
        <v>78</v>
      </c>
      <c r="X38" s="46">
        <f t="shared" si="15"/>
        <v>65</v>
      </c>
      <c r="Y38" s="46">
        <v>13</v>
      </c>
      <c r="Z38" s="46">
        <f t="shared" si="16"/>
        <v>1</v>
      </c>
      <c r="AA38" s="46">
        <v>0</v>
      </c>
      <c r="AB38" s="46">
        <v>1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f t="shared" si="17"/>
        <v>2</v>
      </c>
      <c r="AI38" s="46">
        <v>2</v>
      </c>
      <c r="AJ38" s="46">
        <v>0</v>
      </c>
      <c r="AK38" s="46">
        <v>0</v>
      </c>
      <c r="AL38" s="46">
        <v>0</v>
      </c>
      <c r="AM38" s="49">
        <v>1</v>
      </c>
      <c r="AN38" s="47">
        <v>44413</v>
      </c>
      <c r="AO38" s="46" t="s">
        <v>89</v>
      </c>
      <c r="AP38" s="46"/>
      <c r="AQ38" s="50">
        <f t="shared" si="4"/>
        <v>47</v>
      </c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52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</row>
    <row r="39" spans="1:81" ht="15" customHeight="1" x14ac:dyDescent="0.25">
      <c r="A39" s="46" t="s">
        <v>119</v>
      </c>
      <c r="B39" s="46" t="s">
        <v>93</v>
      </c>
      <c r="C39" s="46" t="s">
        <v>89</v>
      </c>
      <c r="D39" s="46">
        <v>36</v>
      </c>
      <c r="E39" s="46">
        <v>37</v>
      </c>
      <c r="F39" s="47">
        <v>44366</v>
      </c>
      <c r="G39" s="48" t="s">
        <v>89</v>
      </c>
      <c r="H39" s="48" t="s">
        <v>89</v>
      </c>
      <c r="I39" s="46" t="s">
        <v>89</v>
      </c>
      <c r="J39" s="46" t="s">
        <v>89</v>
      </c>
      <c r="K39" s="46" t="s">
        <v>89</v>
      </c>
      <c r="L39" s="46" t="s">
        <v>89</v>
      </c>
      <c r="M39" s="46" t="s">
        <v>89</v>
      </c>
      <c r="N39" s="46" t="s">
        <v>89</v>
      </c>
      <c r="O39" s="46" t="s">
        <v>89</v>
      </c>
      <c r="P39" s="55">
        <v>0.10416666666666667</v>
      </c>
      <c r="Q39" s="46" t="s">
        <v>89</v>
      </c>
      <c r="R39" s="46" t="s">
        <v>89</v>
      </c>
      <c r="S39" s="46" t="s">
        <v>89</v>
      </c>
      <c r="T39" s="46" t="s">
        <v>89</v>
      </c>
      <c r="U39" s="46">
        <v>65</v>
      </c>
      <c r="V39" s="46">
        <f t="shared" si="14"/>
        <v>32</v>
      </c>
      <c r="W39" s="46">
        <v>32</v>
      </c>
      <c r="X39" s="46">
        <v>32</v>
      </c>
      <c r="Y39" s="46">
        <v>0</v>
      </c>
      <c r="Z39" s="46">
        <f t="shared" si="16"/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f t="shared" si="17"/>
        <v>33</v>
      </c>
      <c r="AI39" s="46">
        <v>33</v>
      </c>
      <c r="AJ39" s="46">
        <v>0</v>
      </c>
      <c r="AK39" s="46">
        <v>0</v>
      </c>
      <c r="AL39" s="46">
        <v>0</v>
      </c>
      <c r="AM39" s="49">
        <v>1</v>
      </c>
      <c r="AN39" s="46" t="s">
        <v>89</v>
      </c>
      <c r="AO39" s="46" t="s">
        <v>89</v>
      </c>
      <c r="AP39" s="46"/>
      <c r="AQ39" s="50" t="str">
        <f t="shared" si="4"/>
        <v>N.A.</v>
      </c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52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</row>
    <row r="40" spans="1:81" ht="15" customHeight="1" x14ac:dyDescent="0.25">
      <c r="A40" s="46" t="s">
        <v>120</v>
      </c>
      <c r="B40" s="46" t="s">
        <v>93</v>
      </c>
      <c r="C40" s="46" t="s">
        <v>89</v>
      </c>
      <c r="D40" s="46">
        <v>7</v>
      </c>
      <c r="E40" s="46">
        <v>8</v>
      </c>
      <c r="F40" s="47">
        <v>44366</v>
      </c>
      <c r="G40" s="48" t="s">
        <v>89</v>
      </c>
      <c r="H40" s="48" t="s">
        <v>89</v>
      </c>
      <c r="I40" s="48" t="s">
        <v>89</v>
      </c>
      <c r="J40" s="48" t="s">
        <v>89</v>
      </c>
      <c r="K40" s="48" t="s">
        <v>89</v>
      </c>
      <c r="L40" s="48" t="s">
        <v>89</v>
      </c>
      <c r="M40" s="48" t="s">
        <v>89</v>
      </c>
      <c r="N40" s="48" t="s">
        <v>89</v>
      </c>
      <c r="O40" s="48" t="s">
        <v>89</v>
      </c>
      <c r="P40" s="48" t="s">
        <v>89</v>
      </c>
      <c r="Q40" s="48" t="s">
        <v>89</v>
      </c>
      <c r="R40" s="48" t="s">
        <v>89</v>
      </c>
      <c r="S40" s="48" t="s">
        <v>89</v>
      </c>
      <c r="T40" s="48" t="s">
        <v>89</v>
      </c>
      <c r="U40" s="48" t="s">
        <v>89</v>
      </c>
      <c r="V40" s="48" t="s">
        <v>89</v>
      </c>
      <c r="W40" s="48" t="s">
        <v>89</v>
      </c>
      <c r="X40" s="48" t="s">
        <v>89</v>
      </c>
      <c r="Y40" s="48" t="s">
        <v>89</v>
      </c>
      <c r="Z40" s="48" t="s">
        <v>89</v>
      </c>
      <c r="AA40" s="48" t="s">
        <v>89</v>
      </c>
      <c r="AB40" s="48" t="s">
        <v>89</v>
      </c>
      <c r="AC40" s="48" t="s">
        <v>89</v>
      </c>
      <c r="AD40" s="48" t="s">
        <v>89</v>
      </c>
      <c r="AE40" s="48" t="s">
        <v>89</v>
      </c>
      <c r="AF40" s="48" t="s">
        <v>89</v>
      </c>
      <c r="AG40" s="48" t="s">
        <v>89</v>
      </c>
      <c r="AH40" s="48" t="s">
        <v>89</v>
      </c>
      <c r="AI40" s="48" t="s">
        <v>89</v>
      </c>
      <c r="AJ40" s="48" t="s">
        <v>89</v>
      </c>
      <c r="AK40" s="46">
        <v>0</v>
      </c>
      <c r="AL40" s="46">
        <v>0</v>
      </c>
      <c r="AM40" s="49">
        <v>1</v>
      </c>
      <c r="AN40" s="46" t="s">
        <v>89</v>
      </c>
      <c r="AO40" s="46" t="s">
        <v>89</v>
      </c>
      <c r="AP40" s="46"/>
      <c r="AQ40" s="50" t="str">
        <f t="shared" si="4"/>
        <v>N.A.</v>
      </c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52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</row>
    <row r="41" spans="1:81" ht="15" customHeight="1" x14ac:dyDescent="0.25">
      <c r="A41" s="46" t="s">
        <v>121</v>
      </c>
      <c r="B41" s="46" t="s">
        <v>93</v>
      </c>
      <c r="C41" s="46" t="s">
        <v>89</v>
      </c>
      <c r="D41" s="46">
        <v>147</v>
      </c>
      <c r="E41" s="46">
        <v>148</v>
      </c>
      <c r="F41" s="47">
        <v>44367</v>
      </c>
      <c r="G41" s="48" t="s">
        <v>89</v>
      </c>
      <c r="H41" s="48" t="s">
        <v>89</v>
      </c>
      <c r="I41" s="48" t="s">
        <v>89</v>
      </c>
      <c r="J41" s="48" t="s">
        <v>89</v>
      </c>
      <c r="K41" s="48" t="s">
        <v>89</v>
      </c>
      <c r="L41" s="48" t="s">
        <v>89</v>
      </c>
      <c r="M41" s="48" t="s">
        <v>89</v>
      </c>
      <c r="N41" s="48" t="s">
        <v>89</v>
      </c>
      <c r="O41" s="48" t="s">
        <v>89</v>
      </c>
      <c r="P41" s="48" t="s">
        <v>89</v>
      </c>
      <c r="Q41" s="48" t="s">
        <v>89</v>
      </c>
      <c r="R41" s="48" t="s">
        <v>89</v>
      </c>
      <c r="S41" s="48" t="s">
        <v>89</v>
      </c>
      <c r="T41" s="48" t="s">
        <v>89</v>
      </c>
      <c r="U41" s="46">
        <v>112</v>
      </c>
      <c r="V41" s="46">
        <f t="shared" ref="V41:V44" si="18">W41+Z41</f>
        <v>102</v>
      </c>
      <c r="W41" s="46">
        <v>100</v>
      </c>
      <c r="X41" s="46">
        <f t="shared" ref="X41:X44" si="19">W41-Y41</f>
        <v>90</v>
      </c>
      <c r="Y41" s="46">
        <v>10</v>
      </c>
      <c r="Z41" s="46">
        <f t="shared" ref="Z41:Z44" si="20">SUM(AA41:AG41)</f>
        <v>2</v>
      </c>
      <c r="AA41" s="46">
        <v>1</v>
      </c>
      <c r="AB41" s="46">
        <v>1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f t="shared" ref="AH41:AH44" si="21">SUM(AI41:AL41)</f>
        <v>10</v>
      </c>
      <c r="AI41" s="46">
        <v>10</v>
      </c>
      <c r="AJ41" s="46">
        <v>0</v>
      </c>
      <c r="AK41" s="46">
        <v>0</v>
      </c>
      <c r="AL41" s="46">
        <v>0</v>
      </c>
      <c r="AM41" s="49">
        <v>1</v>
      </c>
      <c r="AN41" s="47">
        <v>44433</v>
      </c>
      <c r="AO41" s="46" t="s">
        <v>89</v>
      </c>
      <c r="AP41" s="46"/>
      <c r="AQ41" s="50">
        <f t="shared" si="4"/>
        <v>66</v>
      </c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52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</row>
    <row r="42" spans="1:81" ht="15" customHeight="1" x14ac:dyDescent="0.25">
      <c r="A42" s="46" t="s">
        <v>122</v>
      </c>
      <c r="B42" s="46" t="s">
        <v>93</v>
      </c>
      <c r="C42" s="46" t="s">
        <v>123</v>
      </c>
      <c r="D42" s="46">
        <v>21</v>
      </c>
      <c r="E42" s="46">
        <v>22</v>
      </c>
      <c r="F42" s="47">
        <v>44367</v>
      </c>
      <c r="G42" s="48" t="s">
        <v>89</v>
      </c>
      <c r="H42" s="48" t="s">
        <v>89</v>
      </c>
      <c r="I42" s="48">
        <v>80</v>
      </c>
      <c r="J42" s="48">
        <v>77</v>
      </c>
      <c r="K42" s="48">
        <v>76</v>
      </c>
      <c r="L42" s="48">
        <v>58</v>
      </c>
      <c r="M42" s="48" t="s">
        <v>89</v>
      </c>
      <c r="N42" s="56">
        <v>0.46527777777777779</v>
      </c>
      <c r="O42" s="56">
        <v>0.46875</v>
      </c>
      <c r="P42" s="56">
        <v>0.4861111111111111</v>
      </c>
      <c r="Q42" s="56">
        <v>0.49861111111111112</v>
      </c>
      <c r="R42" s="56">
        <v>0.50555555555555554</v>
      </c>
      <c r="S42" s="56">
        <v>0.50694444444444442</v>
      </c>
      <c r="T42" s="56">
        <v>0.51111111111111107</v>
      </c>
      <c r="U42" s="46">
        <v>117</v>
      </c>
      <c r="V42" s="46">
        <f t="shared" si="18"/>
        <v>92</v>
      </c>
      <c r="W42" s="46">
        <v>92</v>
      </c>
      <c r="X42" s="46">
        <f t="shared" si="19"/>
        <v>90</v>
      </c>
      <c r="Y42" s="46">
        <v>2</v>
      </c>
      <c r="Z42" s="46">
        <f t="shared" si="20"/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f t="shared" si="21"/>
        <v>25</v>
      </c>
      <c r="AI42" s="46">
        <v>20</v>
      </c>
      <c r="AJ42" s="46">
        <v>5</v>
      </c>
      <c r="AK42" s="46">
        <v>0</v>
      </c>
      <c r="AL42" s="46">
        <v>0</v>
      </c>
      <c r="AM42" s="49">
        <v>1</v>
      </c>
      <c r="AN42" s="47">
        <v>44426</v>
      </c>
      <c r="AO42" s="47">
        <v>44423</v>
      </c>
      <c r="AP42" s="46"/>
      <c r="AQ42" s="50">
        <f t="shared" si="4"/>
        <v>59</v>
      </c>
      <c r="AR42" s="47">
        <v>44425</v>
      </c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52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</row>
    <row r="43" spans="1:81" ht="15" customHeight="1" x14ac:dyDescent="0.25">
      <c r="A43" s="46" t="s">
        <v>124</v>
      </c>
      <c r="B43" s="46" t="s">
        <v>88</v>
      </c>
      <c r="C43" s="46" t="s">
        <v>89</v>
      </c>
      <c r="D43" s="46">
        <v>45</v>
      </c>
      <c r="E43" s="46">
        <v>46</v>
      </c>
      <c r="F43" s="47">
        <v>44367</v>
      </c>
      <c r="G43" s="48" t="s">
        <v>89</v>
      </c>
      <c r="H43" s="48" t="s">
        <v>89</v>
      </c>
      <c r="I43" s="46" t="s">
        <v>89</v>
      </c>
      <c r="J43" s="46" t="s">
        <v>89</v>
      </c>
      <c r="K43" s="46" t="s">
        <v>89</v>
      </c>
      <c r="L43" s="46" t="s">
        <v>89</v>
      </c>
      <c r="M43" s="46" t="s">
        <v>89</v>
      </c>
      <c r="N43" s="46" t="s">
        <v>89</v>
      </c>
      <c r="O43" s="46" t="s">
        <v>89</v>
      </c>
      <c r="P43" s="46" t="s">
        <v>89</v>
      </c>
      <c r="Q43" s="46" t="s">
        <v>89</v>
      </c>
      <c r="R43" s="46" t="s">
        <v>89</v>
      </c>
      <c r="S43" s="46" t="s">
        <v>89</v>
      </c>
      <c r="T43" s="46" t="s">
        <v>89</v>
      </c>
      <c r="U43" s="46">
        <v>104</v>
      </c>
      <c r="V43" s="46">
        <f t="shared" si="18"/>
        <v>81</v>
      </c>
      <c r="W43" s="46">
        <v>81</v>
      </c>
      <c r="X43" s="46">
        <f t="shared" si="19"/>
        <v>77</v>
      </c>
      <c r="Y43" s="46">
        <v>4</v>
      </c>
      <c r="Z43" s="46">
        <f t="shared" si="20"/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f t="shared" si="21"/>
        <v>23</v>
      </c>
      <c r="AI43" s="46">
        <v>23</v>
      </c>
      <c r="AJ43" s="46">
        <v>0</v>
      </c>
      <c r="AK43" s="46">
        <v>0</v>
      </c>
      <c r="AL43" s="46">
        <v>0</v>
      </c>
      <c r="AM43" s="49">
        <v>1</v>
      </c>
      <c r="AN43" s="47">
        <v>44435</v>
      </c>
      <c r="AO43" s="47">
        <v>44427</v>
      </c>
      <c r="AP43" s="46"/>
      <c r="AQ43" s="50">
        <f t="shared" si="4"/>
        <v>68</v>
      </c>
      <c r="AR43" s="47">
        <v>44433</v>
      </c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52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</row>
    <row r="44" spans="1:81" ht="15" customHeight="1" x14ac:dyDescent="0.25">
      <c r="A44" s="46" t="s">
        <v>125</v>
      </c>
      <c r="B44" s="46" t="s">
        <v>93</v>
      </c>
      <c r="C44" s="46" t="s">
        <v>126</v>
      </c>
      <c r="D44" s="46">
        <v>36</v>
      </c>
      <c r="E44" s="46">
        <v>37</v>
      </c>
      <c r="F44" s="47">
        <v>44367</v>
      </c>
      <c r="G44" s="48" t="s">
        <v>89</v>
      </c>
      <c r="H44" s="48" t="s">
        <v>89</v>
      </c>
      <c r="I44" s="46">
        <v>76</v>
      </c>
      <c r="J44" s="46">
        <v>66</v>
      </c>
      <c r="K44" s="46" t="s">
        <v>89</v>
      </c>
      <c r="L44" s="46" t="s">
        <v>89</v>
      </c>
      <c r="M44" s="46" t="s">
        <v>89</v>
      </c>
      <c r="N44" s="46" t="s">
        <v>89</v>
      </c>
      <c r="O44" s="46" t="s">
        <v>89</v>
      </c>
      <c r="P44" s="46" t="s">
        <v>89</v>
      </c>
      <c r="Q44" s="46" t="s">
        <v>89</v>
      </c>
      <c r="R44" s="46" t="s">
        <v>89</v>
      </c>
      <c r="S44" s="55">
        <v>4.8611111111111112E-2</v>
      </c>
      <c r="T44" s="55">
        <v>6.5972222222222224E-2</v>
      </c>
      <c r="U44" s="46">
        <v>63</v>
      </c>
      <c r="V44" s="46">
        <f t="shared" si="18"/>
        <v>59</v>
      </c>
      <c r="W44" s="46">
        <v>59</v>
      </c>
      <c r="X44" s="46">
        <f t="shared" si="19"/>
        <v>59</v>
      </c>
      <c r="Y44" s="46">
        <v>0</v>
      </c>
      <c r="Z44" s="46">
        <f t="shared" si="20"/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f t="shared" si="21"/>
        <v>4</v>
      </c>
      <c r="AI44" s="46">
        <v>4</v>
      </c>
      <c r="AJ44" s="46">
        <v>0</v>
      </c>
      <c r="AK44" s="46">
        <v>0</v>
      </c>
      <c r="AL44" s="46">
        <v>0</v>
      </c>
      <c r="AM44" s="49">
        <v>1</v>
      </c>
      <c r="AN44" s="46" t="s">
        <v>89</v>
      </c>
      <c r="AO44" s="46" t="s">
        <v>89</v>
      </c>
      <c r="AP44" s="46"/>
      <c r="AQ44" s="50" t="str">
        <f t="shared" si="4"/>
        <v>N.A.</v>
      </c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52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</row>
    <row r="45" spans="1:81" ht="15" customHeight="1" x14ac:dyDescent="0.25">
      <c r="A45" s="46" t="s">
        <v>127</v>
      </c>
      <c r="B45" s="46" t="s">
        <v>93</v>
      </c>
      <c r="C45" s="46" t="s">
        <v>89</v>
      </c>
      <c r="D45" s="46">
        <v>45</v>
      </c>
      <c r="E45" s="46">
        <v>46</v>
      </c>
      <c r="F45" s="47">
        <v>44368</v>
      </c>
      <c r="G45" s="48" t="s">
        <v>89</v>
      </c>
      <c r="H45" s="48" t="s">
        <v>89</v>
      </c>
      <c r="I45" s="46" t="s">
        <v>89</v>
      </c>
      <c r="J45" s="46" t="s">
        <v>89</v>
      </c>
      <c r="K45" s="46" t="s">
        <v>89</v>
      </c>
      <c r="L45" s="46" t="s">
        <v>89</v>
      </c>
      <c r="M45" s="46" t="s">
        <v>89</v>
      </c>
      <c r="N45" s="46" t="s">
        <v>89</v>
      </c>
      <c r="O45" s="46" t="s">
        <v>89</v>
      </c>
      <c r="P45" s="46" t="s">
        <v>89</v>
      </c>
      <c r="Q45" s="46" t="s">
        <v>89</v>
      </c>
      <c r="R45" s="46" t="s">
        <v>89</v>
      </c>
      <c r="S45" s="46" t="s">
        <v>89</v>
      </c>
      <c r="T45" s="46" t="s">
        <v>89</v>
      </c>
      <c r="U45" s="46" t="s">
        <v>89</v>
      </c>
      <c r="V45" s="46" t="s">
        <v>89</v>
      </c>
      <c r="W45" s="46" t="s">
        <v>89</v>
      </c>
      <c r="X45" s="46" t="s">
        <v>89</v>
      </c>
      <c r="Y45" s="46" t="s">
        <v>89</v>
      </c>
      <c r="Z45" s="46" t="s">
        <v>89</v>
      </c>
      <c r="AA45" s="46" t="s">
        <v>89</v>
      </c>
      <c r="AB45" s="46" t="s">
        <v>89</v>
      </c>
      <c r="AC45" s="46" t="s">
        <v>89</v>
      </c>
      <c r="AD45" s="46" t="s">
        <v>89</v>
      </c>
      <c r="AE45" s="46" t="s">
        <v>89</v>
      </c>
      <c r="AF45" s="46" t="s">
        <v>89</v>
      </c>
      <c r="AG45" s="46" t="s">
        <v>89</v>
      </c>
      <c r="AH45" s="46" t="s">
        <v>89</v>
      </c>
      <c r="AI45" s="46" t="s">
        <v>89</v>
      </c>
      <c r="AJ45" s="46">
        <v>0</v>
      </c>
      <c r="AK45" s="46">
        <v>0</v>
      </c>
      <c r="AL45" s="46">
        <v>0</v>
      </c>
      <c r="AM45" s="49">
        <v>1</v>
      </c>
      <c r="AN45" s="46" t="s">
        <v>89</v>
      </c>
      <c r="AO45" s="46" t="s">
        <v>89</v>
      </c>
      <c r="AP45" s="46"/>
      <c r="AQ45" s="50" t="str">
        <f t="shared" si="4"/>
        <v>N.A.</v>
      </c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52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</row>
    <row r="46" spans="1:81" ht="15" customHeight="1" x14ac:dyDescent="0.25">
      <c r="A46" s="46" t="s">
        <v>128</v>
      </c>
      <c r="B46" s="46" t="s">
        <v>93</v>
      </c>
      <c r="C46" s="46" t="s">
        <v>89</v>
      </c>
      <c r="D46" s="46">
        <v>144</v>
      </c>
      <c r="E46" s="46">
        <v>145</v>
      </c>
      <c r="F46" s="47">
        <v>44368</v>
      </c>
      <c r="G46" s="48" t="s">
        <v>89</v>
      </c>
      <c r="H46" s="48" t="s">
        <v>89</v>
      </c>
      <c r="I46" s="48" t="s">
        <v>89</v>
      </c>
      <c r="J46" s="48" t="s">
        <v>89</v>
      </c>
      <c r="K46" s="48" t="s">
        <v>89</v>
      </c>
      <c r="L46" s="48" t="s">
        <v>89</v>
      </c>
      <c r="M46" s="48" t="s">
        <v>89</v>
      </c>
      <c r="N46" s="48" t="s">
        <v>89</v>
      </c>
      <c r="O46" s="48" t="s">
        <v>89</v>
      </c>
      <c r="P46" s="48" t="s">
        <v>89</v>
      </c>
      <c r="Q46" s="48" t="s">
        <v>89</v>
      </c>
      <c r="R46" s="48" t="s">
        <v>89</v>
      </c>
      <c r="S46" s="48" t="s">
        <v>89</v>
      </c>
      <c r="T46" s="48" t="s">
        <v>89</v>
      </c>
      <c r="U46" s="48" t="s">
        <v>89</v>
      </c>
      <c r="V46" s="48" t="s">
        <v>89</v>
      </c>
      <c r="W46" s="48" t="s">
        <v>89</v>
      </c>
      <c r="X46" s="48" t="s">
        <v>89</v>
      </c>
      <c r="Y46" s="48" t="s">
        <v>89</v>
      </c>
      <c r="Z46" s="48" t="s">
        <v>89</v>
      </c>
      <c r="AA46" s="48" t="s">
        <v>89</v>
      </c>
      <c r="AB46" s="48" t="s">
        <v>89</v>
      </c>
      <c r="AC46" s="48" t="s">
        <v>89</v>
      </c>
      <c r="AD46" s="48" t="s">
        <v>89</v>
      </c>
      <c r="AE46" s="48" t="s">
        <v>89</v>
      </c>
      <c r="AF46" s="48" t="s">
        <v>89</v>
      </c>
      <c r="AG46" s="48" t="s">
        <v>89</v>
      </c>
      <c r="AH46" s="48" t="s">
        <v>89</v>
      </c>
      <c r="AI46" s="48" t="s">
        <v>89</v>
      </c>
      <c r="AJ46" s="46">
        <v>0</v>
      </c>
      <c r="AK46" s="46">
        <v>0</v>
      </c>
      <c r="AL46" s="46">
        <v>0</v>
      </c>
      <c r="AM46" s="49">
        <v>1</v>
      </c>
      <c r="AN46" s="46" t="s">
        <v>89</v>
      </c>
      <c r="AO46" s="46" t="s">
        <v>89</v>
      </c>
      <c r="AP46" s="46"/>
      <c r="AQ46" s="50" t="str">
        <f t="shared" si="4"/>
        <v>N.A.</v>
      </c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52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</row>
    <row r="47" spans="1:81" ht="15" customHeight="1" x14ac:dyDescent="0.25">
      <c r="A47" s="46" t="s">
        <v>129</v>
      </c>
      <c r="B47" s="46" t="s">
        <v>93</v>
      </c>
      <c r="C47" s="46" t="s">
        <v>89</v>
      </c>
      <c r="D47" s="46">
        <v>148</v>
      </c>
      <c r="E47" s="46">
        <v>149</v>
      </c>
      <c r="F47" s="47">
        <v>44369</v>
      </c>
      <c r="G47" s="48" t="s">
        <v>89</v>
      </c>
      <c r="H47" s="48" t="s">
        <v>89</v>
      </c>
      <c r="I47" s="48" t="s">
        <v>89</v>
      </c>
      <c r="J47" s="48" t="s">
        <v>89</v>
      </c>
      <c r="K47" s="48" t="s">
        <v>89</v>
      </c>
      <c r="L47" s="48" t="s">
        <v>89</v>
      </c>
      <c r="M47" s="48" t="s">
        <v>89</v>
      </c>
      <c r="N47" s="48" t="s">
        <v>89</v>
      </c>
      <c r="O47" s="48" t="s">
        <v>89</v>
      </c>
      <c r="P47" s="48" t="s">
        <v>89</v>
      </c>
      <c r="Q47" s="48" t="s">
        <v>89</v>
      </c>
      <c r="R47" s="48" t="s">
        <v>89</v>
      </c>
      <c r="S47" s="48" t="s">
        <v>89</v>
      </c>
      <c r="T47" s="48" t="s">
        <v>89</v>
      </c>
      <c r="U47" s="46">
        <v>106</v>
      </c>
      <c r="V47" s="46">
        <f>W47+Z47</f>
        <v>103</v>
      </c>
      <c r="W47" s="46">
        <v>100</v>
      </c>
      <c r="X47" s="46">
        <f>W47-Y47</f>
        <v>94</v>
      </c>
      <c r="Y47" s="46">
        <v>6</v>
      </c>
      <c r="Z47" s="46">
        <f>SUM(AA47:AG47)</f>
        <v>3</v>
      </c>
      <c r="AA47" s="46">
        <v>1</v>
      </c>
      <c r="AB47" s="46">
        <v>1</v>
      </c>
      <c r="AC47" s="46">
        <v>0</v>
      </c>
      <c r="AD47" s="46">
        <v>1</v>
      </c>
      <c r="AE47" s="46">
        <v>0</v>
      </c>
      <c r="AF47" s="46">
        <v>0</v>
      </c>
      <c r="AG47" s="46">
        <v>0</v>
      </c>
      <c r="AH47" s="46">
        <f>SUM(AI47:AL47)</f>
        <v>3</v>
      </c>
      <c r="AI47" s="46">
        <v>3</v>
      </c>
      <c r="AJ47" s="46">
        <v>0</v>
      </c>
      <c r="AK47" s="46">
        <v>0</v>
      </c>
      <c r="AL47" s="46">
        <v>0</v>
      </c>
      <c r="AM47" s="49">
        <v>1</v>
      </c>
      <c r="AN47" s="47">
        <v>44422</v>
      </c>
      <c r="AO47" s="47">
        <v>44421</v>
      </c>
      <c r="AP47" s="46"/>
      <c r="AQ47" s="50">
        <f t="shared" si="4"/>
        <v>53</v>
      </c>
      <c r="AR47" s="47">
        <v>44422</v>
      </c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52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</row>
    <row r="48" spans="1:81" ht="15" customHeight="1" x14ac:dyDescent="0.25">
      <c r="A48" s="46" t="s">
        <v>130</v>
      </c>
      <c r="B48" s="46" t="s">
        <v>88</v>
      </c>
      <c r="C48" s="46" t="s">
        <v>89</v>
      </c>
      <c r="D48" s="46">
        <v>135</v>
      </c>
      <c r="E48" s="46">
        <v>136</v>
      </c>
      <c r="F48" s="47">
        <v>44369</v>
      </c>
      <c r="G48" s="48" t="s">
        <v>89</v>
      </c>
      <c r="H48" s="48" t="s">
        <v>89</v>
      </c>
      <c r="I48" s="46" t="s">
        <v>89</v>
      </c>
      <c r="J48" s="46" t="s">
        <v>89</v>
      </c>
      <c r="K48" s="46" t="s">
        <v>89</v>
      </c>
      <c r="L48" s="46" t="s">
        <v>89</v>
      </c>
      <c r="M48" s="46" t="s">
        <v>89</v>
      </c>
      <c r="N48" s="46" t="s">
        <v>89</v>
      </c>
      <c r="O48" s="46" t="s">
        <v>89</v>
      </c>
      <c r="P48" s="46" t="s">
        <v>89</v>
      </c>
      <c r="Q48" s="46" t="s">
        <v>89</v>
      </c>
      <c r="R48" s="46" t="s">
        <v>89</v>
      </c>
      <c r="S48" s="46" t="s">
        <v>89</v>
      </c>
      <c r="T48" s="46" t="s">
        <v>89</v>
      </c>
      <c r="U48" s="46" t="s">
        <v>89</v>
      </c>
      <c r="V48" s="46" t="s">
        <v>89</v>
      </c>
      <c r="W48" s="46" t="s">
        <v>89</v>
      </c>
      <c r="X48" s="46" t="s">
        <v>89</v>
      </c>
      <c r="Y48" s="46" t="s">
        <v>89</v>
      </c>
      <c r="Z48" s="46" t="s">
        <v>89</v>
      </c>
      <c r="AA48" s="46" t="s">
        <v>89</v>
      </c>
      <c r="AB48" s="46" t="s">
        <v>89</v>
      </c>
      <c r="AC48" s="46" t="s">
        <v>89</v>
      </c>
      <c r="AD48" s="46" t="s">
        <v>89</v>
      </c>
      <c r="AE48" s="46" t="s">
        <v>89</v>
      </c>
      <c r="AF48" s="46" t="s">
        <v>89</v>
      </c>
      <c r="AG48" s="46" t="s">
        <v>89</v>
      </c>
      <c r="AH48" s="46" t="s">
        <v>89</v>
      </c>
      <c r="AI48" s="46" t="s">
        <v>89</v>
      </c>
      <c r="AJ48" s="46" t="s">
        <v>89</v>
      </c>
      <c r="AK48" s="46">
        <v>0</v>
      </c>
      <c r="AL48" s="46">
        <v>0</v>
      </c>
      <c r="AM48" s="49">
        <v>1</v>
      </c>
      <c r="AN48" s="46" t="s">
        <v>89</v>
      </c>
      <c r="AO48" s="46" t="s">
        <v>89</v>
      </c>
      <c r="AP48" s="46"/>
      <c r="AQ48" s="50" t="str">
        <f t="shared" si="4"/>
        <v>N.A.</v>
      </c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52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</row>
    <row r="49" spans="1:81" ht="15" customHeight="1" x14ac:dyDescent="0.25">
      <c r="A49" s="46" t="s">
        <v>131</v>
      </c>
      <c r="B49" s="46" t="s">
        <v>93</v>
      </c>
      <c r="C49" s="46" t="s">
        <v>89</v>
      </c>
      <c r="D49" s="46">
        <v>45</v>
      </c>
      <c r="E49" s="46">
        <v>46</v>
      </c>
      <c r="F49" s="47">
        <v>44369</v>
      </c>
      <c r="G49" s="48" t="s">
        <v>89</v>
      </c>
      <c r="H49" s="48" t="s">
        <v>89</v>
      </c>
      <c r="I49" s="46" t="s">
        <v>89</v>
      </c>
      <c r="J49" s="46" t="s">
        <v>89</v>
      </c>
      <c r="K49" s="46" t="s">
        <v>89</v>
      </c>
      <c r="L49" s="46" t="s">
        <v>89</v>
      </c>
      <c r="M49" s="46" t="s">
        <v>89</v>
      </c>
      <c r="N49" s="46" t="s">
        <v>89</v>
      </c>
      <c r="O49" s="46" t="s">
        <v>89</v>
      </c>
      <c r="P49" s="46" t="s">
        <v>89</v>
      </c>
      <c r="Q49" s="46" t="s">
        <v>89</v>
      </c>
      <c r="R49" s="46" t="s">
        <v>89</v>
      </c>
      <c r="S49" s="46" t="s">
        <v>89</v>
      </c>
      <c r="T49" s="46" t="s">
        <v>89</v>
      </c>
      <c r="U49" s="46" t="s">
        <v>89</v>
      </c>
      <c r="V49" s="46" t="s">
        <v>89</v>
      </c>
      <c r="W49" s="46" t="s">
        <v>89</v>
      </c>
      <c r="X49" s="46" t="s">
        <v>89</v>
      </c>
      <c r="Y49" s="46" t="s">
        <v>89</v>
      </c>
      <c r="Z49" s="46" t="s">
        <v>89</v>
      </c>
      <c r="AA49" s="46" t="s">
        <v>89</v>
      </c>
      <c r="AB49" s="46" t="s">
        <v>89</v>
      </c>
      <c r="AC49" s="46" t="s">
        <v>89</v>
      </c>
      <c r="AD49" s="46" t="s">
        <v>89</v>
      </c>
      <c r="AE49" s="46" t="s">
        <v>89</v>
      </c>
      <c r="AF49" s="46" t="s">
        <v>89</v>
      </c>
      <c r="AG49" s="46" t="s">
        <v>89</v>
      </c>
      <c r="AH49" s="46" t="s">
        <v>89</v>
      </c>
      <c r="AI49" s="46" t="s">
        <v>89</v>
      </c>
      <c r="AJ49" s="46" t="s">
        <v>89</v>
      </c>
      <c r="AK49" s="46">
        <v>0</v>
      </c>
      <c r="AL49" s="46">
        <v>0</v>
      </c>
      <c r="AM49" s="49">
        <v>1</v>
      </c>
      <c r="AN49" s="46" t="s">
        <v>89</v>
      </c>
      <c r="AO49" s="46" t="s">
        <v>89</v>
      </c>
      <c r="AP49" s="46"/>
      <c r="AQ49" s="50" t="str">
        <f t="shared" si="4"/>
        <v>N.A.</v>
      </c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52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</row>
    <row r="50" spans="1:81" ht="15" customHeight="1" x14ac:dyDescent="0.25">
      <c r="A50" s="46" t="s">
        <v>132</v>
      </c>
      <c r="B50" s="46" t="s">
        <v>88</v>
      </c>
      <c r="C50" s="46" t="s">
        <v>89</v>
      </c>
      <c r="D50" s="46">
        <v>155</v>
      </c>
      <c r="E50" s="46">
        <v>156</v>
      </c>
      <c r="F50" s="47">
        <v>44370</v>
      </c>
      <c r="G50" s="48" t="s">
        <v>89</v>
      </c>
      <c r="H50" s="48" t="s">
        <v>89</v>
      </c>
      <c r="I50" s="48" t="s">
        <v>89</v>
      </c>
      <c r="J50" s="48" t="s">
        <v>89</v>
      </c>
      <c r="K50" s="48" t="s">
        <v>89</v>
      </c>
      <c r="L50" s="48" t="s">
        <v>89</v>
      </c>
      <c r="M50" s="48" t="s">
        <v>89</v>
      </c>
      <c r="N50" s="48" t="s">
        <v>89</v>
      </c>
      <c r="O50" s="48" t="s">
        <v>89</v>
      </c>
      <c r="P50" s="48" t="s">
        <v>89</v>
      </c>
      <c r="Q50" s="48" t="s">
        <v>89</v>
      </c>
      <c r="R50" s="48" t="s">
        <v>89</v>
      </c>
      <c r="S50" s="48" t="s">
        <v>89</v>
      </c>
      <c r="T50" s="48" t="s">
        <v>89</v>
      </c>
      <c r="U50" s="46">
        <v>102</v>
      </c>
      <c r="V50" s="46">
        <f t="shared" ref="V50:V51" si="22">W50+Z50</f>
        <v>72</v>
      </c>
      <c r="W50" s="46">
        <v>64</v>
      </c>
      <c r="X50" s="46">
        <f t="shared" ref="X50:X51" si="23">W50-Y50</f>
        <v>62</v>
      </c>
      <c r="Y50" s="46">
        <v>2</v>
      </c>
      <c r="Z50" s="46">
        <f t="shared" ref="Z50:Z51" si="24">SUM(AA50:AG50)</f>
        <v>8</v>
      </c>
      <c r="AA50" s="46">
        <v>3</v>
      </c>
      <c r="AB50" s="46">
        <v>0</v>
      </c>
      <c r="AC50" s="46">
        <v>2</v>
      </c>
      <c r="AD50" s="46">
        <v>3</v>
      </c>
      <c r="AE50" s="46">
        <v>0</v>
      </c>
      <c r="AF50" s="46">
        <v>0</v>
      </c>
      <c r="AG50" s="46">
        <v>0</v>
      </c>
      <c r="AH50" s="46">
        <f t="shared" ref="AH50:AH51" si="25">SUM(AI50:AL50)</f>
        <v>30</v>
      </c>
      <c r="AI50" s="46">
        <v>30</v>
      </c>
      <c r="AJ50" s="46">
        <v>0</v>
      </c>
      <c r="AK50" s="46">
        <v>0</v>
      </c>
      <c r="AL50" s="46">
        <v>0</v>
      </c>
      <c r="AM50" s="49">
        <v>1</v>
      </c>
      <c r="AN50" s="47">
        <v>44422</v>
      </c>
      <c r="AO50" s="47">
        <v>44421</v>
      </c>
      <c r="AP50" s="46"/>
      <c r="AQ50" s="50">
        <f t="shared" si="4"/>
        <v>52</v>
      </c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52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</row>
    <row r="51" spans="1:81" ht="15" customHeight="1" x14ac:dyDescent="0.25">
      <c r="A51" s="46" t="s">
        <v>133</v>
      </c>
      <c r="B51" s="46" t="s">
        <v>88</v>
      </c>
      <c r="C51" s="46" t="s">
        <v>89</v>
      </c>
      <c r="D51" s="46">
        <v>105</v>
      </c>
      <c r="E51" s="46">
        <v>106</v>
      </c>
      <c r="F51" s="47">
        <v>44370</v>
      </c>
      <c r="G51" s="48" t="s">
        <v>89</v>
      </c>
      <c r="H51" s="48" t="s">
        <v>89</v>
      </c>
      <c r="I51" s="48" t="s">
        <v>89</v>
      </c>
      <c r="J51" s="48" t="s">
        <v>89</v>
      </c>
      <c r="K51" s="48" t="s">
        <v>89</v>
      </c>
      <c r="L51" s="48" t="s">
        <v>89</v>
      </c>
      <c r="M51" s="48" t="s">
        <v>89</v>
      </c>
      <c r="N51" s="48" t="s">
        <v>89</v>
      </c>
      <c r="O51" s="48" t="s">
        <v>89</v>
      </c>
      <c r="P51" s="48" t="s">
        <v>89</v>
      </c>
      <c r="Q51" s="48" t="s">
        <v>89</v>
      </c>
      <c r="R51" s="48" t="s">
        <v>89</v>
      </c>
      <c r="S51" s="48" t="s">
        <v>89</v>
      </c>
      <c r="T51" s="48" t="s">
        <v>89</v>
      </c>
      <c r="U51" s="46">
        <v>86</v>
      </c>
      <c r="V51" s="46">
        <f t="shared" si="22"/>
        <v>70</v>
      </c>
      <c r="W51" s="46">
        <v>67</v>
      </c>
      <c r="X51" s="46">
        <f t="shared" si="23"/>
        <v>63</v>
      </c>
      <c r="Y51" s="46">
        <v>4</v>
      </c>
      <c r="Z51" s="46">
        <f t="shared" si="24"/>
        <v>3</v>
      </c>
      <c r="AA51" s="46">
        <v>1</v>
      </c>
      <c r="AB51" s="46">
        <v>0</v>
      </c>
      <c r="AC51" s="46">
        <v>0</v>
      </c>
      <c r="AD51" s="46">
        <v>2</v>
      </c>
      <c r="AE51" s="46">
        <v>0</v>
      </c>
      <c r="AF51" s="46">
        <v>0</v>
      </c>
      <c r="AG51" s="46">
        <v>0</v>
      </c>
      <c r="AH51" s="46">
        <f t="shared" si="25"/>
        <v>16</v>
      </c>
      <c r="AI51" s="46">
        <v>16</v>
      </c>
      <c r="AJ51" s="46">
        <v>0</v>
      </c>
      <c r="AK51" s="46">
        <v>0</v>
      </c>
      <c r="AL51" s="46">
        <v>0</v>
      </c>
      <c r="AM51" s="49">
        <v>1</v>
      </c>
      <c r="AN51" s="47">
        <v>44424</v>
      </c>
      <c r="AO51" s="47">
        <v>44422</v>
      </c>
      <c r="AP51" s="46"/>
      <c r="AQ51" s="50">
        <f t="shared" si="4"/>
        <v>54</v>
      </c>
      <c r="AR51" s="47">
        <v>44423</v>
      </c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52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</row>
    <row r="52" spans="1:81" ht="15" customHeight="1" x14ac:dyDescent="0.25">
      <c r="A52" s="46" t="s">
        <v>134</v>
      </c>
      <c r="B52" s="46" t="s">
        <v>93</v>
      </c>
      <c r="C52" s="46" t="s">
        <v>89</v>
      </c>
      <c r="D52" s="46">
        <v>45</v>
      </c>
      <c r="E52" s="46">
        <v>46</v>
      </c>
      <c r="F52" s="47">
        <v>44370</v>
      </c>
      <c r="G52" s="48" t="s">
        <v>89</v>
      </c>
      <c r="H52" s="48" t="s">
        <v>89</v>
      </c>
      <c r="I52" s="46" t="s">
        <v>89</v>
      </c>
      <c r="J52" s="46" t="s">
        <v>89</v>
      </c>
      <c r="K52" s="46" t="s">
        <v>89</v>
      </c>
      <c r="L52" s="46" t="s">
        <v>89</v>
      </c>
      <c r="M52" s="46" t="s">
        <v>89</v>
      </c>
      <c r="N52" s="46" t="s">
        <v>89</v>
      </c>
      <c r="O52" s="46" t="s">
        <v>89</v>
      </c>
      <c r="P52" s="46" t="s">
        <v>89</v>
      </c>
      <c r="Q52" s="46" t="s">
        <v>89</v>
      </c>
      <c r="R52" s="46" t="s">
        <v>89</v>
      </c>
      <c r="S52" s="46" t="s">
        <v>89</v>
      </c>
      <c r="T52" s="46" t="s">
        <v>89</v>
      </c>
      <c r="U52" s="46" t="s">
        <v>89</v>
      </c>
      <c r="V52" s="46" t="s">
        <v>89</v>
      </c>
      <c r="W52" s="46" t="s">
        <v>89</v>
      </c>
      <c r="X52" s="46" t="s">
        <v>89</v>
      </c>
      <c r="Y52" s="46" t="s">
        <v>89</v>
      </c>
      <c r="Z52" s="46" t="s">
        <v>89</v>
      </c>
      <c r="AA52" s="46" t="s">
        <v>89</v>
      </c>
      <c r="AB52" s="46" t="s">
        <v>89</v>
      </c>
      <c r="AC52" s="46" t="s">
        <v>89</v>
      </c>
      <c r="AD52" s="46" t="s">
        <v>89</v>
      </c>
      <c r="AE52" s="46" t="s">
        <v>89</v>
      </c>
      <c r="AF52" s="46" t="s">
        <v>89</v>
      </c>
      <c r="AG52" s="46" t="s">
        <v>89</v>
      </c>
      <c r="AH52" s="46" t="s">
        <v>89</v>
      </c>
      <c r="AI52" s="46" t="s">
        <v>89</v>
      </c>
      <c r="AJ52" s="46" t="s">
        <v>89</v>
      </c>
      <c r="AK52" s="46">
        <v>0</v>
      </c>
      <c r="AL52" s="46">
        <v>0</v>
      </c>
      <c r="AM52" s="49">
        <v>1</v>
      </c>
      <c r="AN52" s="46" t="s">
        <v>89</v>
      </c>
      <c r="AO52" s="46" t="s">
        <v>89</v>
      </c>
      <c r="AP52" s="46"/>
      <c r="AQ52" s="50" t="str">
        <f t="shared" si="4"/>
        <v>N.A.</v>
      </c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52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</row>
    <row r="53" spans="1:81" ht="15" customHeight="1" x14ac:dyDescent="0.25">
      <c r="A53" s="46" t="s">
        <v>135</v>
      </c>
      <c r="B53" s="46" t="s">
        <v>93</v>
      </c>
      <c r="C53" s="46" t="s">
        <v>89</v>
      </c>
      <c r="D53" s="46">
        <v>21</v>
      </c>
      <c r="E53" s="46">
        <v>22</v>
      </c>
      <c r="F53" s="47">
        <v>44371</v>
      </c>
      <c r="G53" s="48" t="s">
        <v>89</v>
      </c>
      <c r="H53" s="48" t="s">
        <v>89</v>
      </c>
      <c r="I53" s="46" t="s">
        <v>89</v>
      </c>
      <c r="J53" s="46" t="s">
        <v>89</v>
      </c>
      <c r="K53" s="46" t="s">
        <v>89</v>
      </c>
      <c r="L53" s="46" t="s">
        <v>89</v>
      </c>
      <c r="M53" s="46" t="s">
        <v>89</v>
      </c>
      <c r="N53" s="46" t="s">
        <v>89</v>
      </c>
      <c r="O53" s="46" t="s">
        <v>89</v>
      </c>
      <c r="P53" s="46" t="s">
        <v>89</v>
      </c>
      <c r="Q53" s="46" t="s">
        <v>89</v>
      </c>
      <c r="R53" s="46" t="s">
        <v>89</v>
      </c>
      <c r="S53" s="46" t="s">
        <v>89</v>
      </c>
      <c r="T53" s="46" t="s">
        <v>89</v>
      </c>
      <c r="U53" s="46" t="s">
        <v>89</v>
      </c>
      <c r="V53" s="46" t="s">
        <v>89</v>
      </c>
      <c r="W53" s="46" t="s">
        <v>89</v>
      </c>
      <c r="X53" s="46" t="s">
        <v>89</v>
      </c>
      <c r="Y53" s="46" t="s">
        <v>89</v>
      </c>
      <c r="Z53" s="46" t="s">
        <v>89</v>
      </c>
      <c r="AA53" s="46" t="s">
        <v>89</v>
      </c>
      <c r="AB53" s="46" t="s">
        <v>89</v>
      </c>
      <c r="AC53" s="46" t="s">
        <v>89</v>
      </c>
      <c r="AD53" s="46" t="s">
        <v>89</v>
      </c>
      <c r="AE53" s="46" t="s">
        <v>89</v>
      </c>
      <c r="AF53" s="46" t="s">
        <v>89</v>
      </c>
      <c r="AG53" s="46" t="s">
        <v>89</v>
      </c>
      <c r="AH53" s="46" t="s">
        <v>89</v>
      </c>
      <c r="AI53" s="46" t="s">
        <v>89</v>
      </c>
      <c r="AJ53" s="46" t="s">
        <v>89</v>
      </c>
      <c r="AK53" s="46">
        <v>0</v>
      </c>
      <c r="AL53" s="46">
        <v>0</v>
      </c>
      <c r="AM53" s="49">
        <v>1</v>
      </c>
      <c r="AN53" s="46" t="s">
        <v>89</v>
      </c>
      <c r="AO53" s="46" t="s">
        <v>89</v>
      </c>
      <c r="AP53" s="46"/>
      <c r="AQ53" s="50" t="str">
        <f t="shared" si="4"/>
        <v>N.A.</v>
      </c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52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</row>
    <row r="54" spans="1:81" ht="15" customHeight="1" x14ac:dyDescent="0.25">
      <c r="A54" s="46" t="s">
        <v>136</v>
      </c>
      <c r="B54" s="46" t="s">
        <v>93</v>
      </c>
      <c r="C54" s="46" t="s">
        <v>89</v>
      </c>
      <c r="D54" s="46">
        <v>119</v>
      </c>
      <c r="E54" s="46">
        <v>120</v>
      </c>
      <c r="F54" s="47">
        <v>44371</v>
      </c>
      <c r="G54" s="48" t="s">
        <v>89</v>
      </c>
      <c r="H54" s="48" t="s">
        <v>89</v>
      </c>
      <c r="I54" s="48" t="s">
        <v>89</v>
      </c>
      <c r="J54" s="48" t="s">
        <v>89</v>
      </c>
      <c r="K54" s="48" t="s">
        <v>89</v>
      </c>
      <c r="L54" s="48" t="s">
        <v>89</v>
      </c>
      <c r="M54" s="48" t="s">
        <v>89</v>
      </c>
      <c r="N54" s="48" t="s">
        <v>89</v>
      </c>
      <c r="O54" s="48" t="s">
        <v>89</v>
      </c>
      <c r="P54" s="48" t="s">
        <v>89</v>
      </c>
      <c r="Q54" s="48" t="s">
        <v>89</v>
      </c>
      <c r="R54" s="48" t="s">
        <v>89</v>
      </c>
      <c r="S54" s="48" t="s">
        <v>89</v>
      </c>
      <c r="T54" s="48" t="s">
        <v>89</v>
      </c>
      <c r="U54" s="46">
        <v>68</v>
      </c>
      <c r="V54" s="46">
        <f t="shared" ref="V54:V55" si="26">W54+Z54</f>
        <v>64</v>
      </c>
      <c r="W54" s="46">
        <v>53</v>
      </c>
      <c r="X54" s="46">
        <f t="shared" ref="X54:X55" si="27">W54-Y54</f>
        <v>53</v>
      </c>
      <c r="Y54" s="46">
        <v>0</v>
      </c>
      <c r="Z54" s="46">
        <f t="shared" ref="Z54:Z55" si="28">SUM(AA54:AG54)</f>
        <v>11</v>
      </c>
      <c r="AA54" s="46">
        <v>1</v>
      </c>
      <c r="AB54" s="46">
        <v>3</v>
      </c>
      <c r="AC54" s="46">
        <v>0</v>
      </c>
      <c r="AD54" s="46">
        <v>0</v>
      </c>
      <c r="AE54" s="46">
        <v>4</v>
      </c>
      <c r="AF54" s="46">
        <v>0</v>
      </c>
      <c r="AG54" s="46">
        <v>3</v>
      </c>
      <c r="AH54" s="46">
        <f t="shared" ref="AH54:AH55" si="29">SUM(AI54:AL54)</f>
        <v>4</v>
      </c>
      <c r="AI54" s="46">
        <v>4</v>
      </c>
      <c r="AJ54" s="46">
        <v>0</v>
      </c>
      <c r="AK54" s="46">
        <v>0</v>
      </c>
      <c r="AL54" s="46">
        <v>0</v>
      </c>
      <c r="AM54" s="49">
        <v>1</v>
      </c>
      <c r="AN54" s="47">
        <v>44424</v>
      </c>
      <c r="AO54" s="47">
        <v>44422</v>
      </c>
      <c r="AP54" s="46"/>
      <c r="AQ54" s="50">
        <f t="shared" si="4"/>
        <v>53</v>
      </c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52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</row>
    <row r="55" spans="1:81" ht="15" customHeight="1" x14ac:dyDescent="0.25">
      <c r="A55" s="46" t="s">
        <v>137</v>
      </c>
      <c r="B55" s="46" t="s">
        <v>93</v>
      </c>
      <c r="C55" s="46" t="s">
        <v>89</v>
      </c>
      <c r="D55" s="46">
        <v>104</v>
      </c>
      <c r="E55" s="46">
        <v>105</v>
      </c>
      <c r="F55" s="47">
        <v>44371</v>
      </c>
      <c r="G55" s="48" t="s">
        <v>89</v>
      </c>
      <c r="H55" s="48" t="s">
        <v>89</v>
      </c>
      <c r="I55" s="46" t="s">
        <v>89</v>
      </c>
      <c r="J55" s="46" t="s">
        <v>89</v>
      </c>
      <c r="K55" s="46" t="s">
        <v>89</v>
      </c>
      <c r="L55" s="46" t="s">
        <v>89</v>
      </c>
      <c r="M55" s="46" t="s">
        <v>89</v>
      </c>
      <c r="N55" s="46" t="s">
        <v>89</v>
      </c>
      <c r="O55" s="46" t="s">
        <v>89</v>
      </c>
      <c r="P55" s="46" t="s">
        <v>89</v>
      </c>
      <c r="Q55" s="46" t="s">
        <v>89</v>
      </c>
      <c r="R55" s="46" t="s">
        <v>89</v>
      </c>
      <c r="S55" s="46" t="s">
        <v>89</v>
      </c>
      <c r="T55" s="46" t="s">
        <v>89</v>
      </c>
      <c r="U55" s="46">
        <v>121</v>
      </c>
      <c r="V55" s="46">
        <f t="shared" si="26"/>
        <v>107</v>
      </c>
      <c r="W55" s="46">
        <v>106</v>
      </c>
      <c r="X55" s="46">
        <f t="shared" si="27"/>
        <v>105</v>
      </c>
      <c r="Y55" s="46">
        <v>1</v>
      </c>
      <c r="Z55" s="46">
        <f t="shared" si="28"/>
        <v>1</v>
      </c>
      <c r="AA55" s="46">
        <v>0</v>
      </c>
      <c r="AB55" s="46">
        <v>0</v>
      </c>
      <c r="AC55" s="46">
        <v>0</v>
      </c>
      <c r="AD55" s="46">
        <v>0</v>
      </c>
      <c r="AE55" s="46">
        <v>1</v>
      </c>
      <c r="AF55" s="46">
        <v>0</v>
      </c>
      <c r="AG55" s="46">
        <v>0</v>
      </c>
      <c r="AH55" s="46">
        <f t="shared" si="29"/>
        <v>14</v>
      </c>
      <c r="AI55" s="46">
        <v>14</v>
      </c>
      <c r="AJ55" s="46">
        <v>0</v>
      </c>
      <c r="AK55" s="46">
        <v>0</v>
      </c>
      <c r="AL55" s="46">
        <v>0</v>
      </c>
      <c r="AM55" s="49">
        <v>1</v>
      </c>
      <c r="AN55" s="47">
        <v>44441</v>
      </c>
      <c r="AO55" s="47">
        <v>44423</v>
      </c>
      <c r="AP55" s="46"/>
      <c r="AQ55" s="50">
        <f t="shared" si="4"/>
        <v>70</v>
      </c>
      <c r="AR55" s="47">
        <v>44425</v>
      </c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52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</row>
    <row r="56" spans="1:81" ht="15" customHeight="1" x14ac:dyDescent="0.25">
      <c r="A56" s="46" t="s">
        <v>138</v>
      </c>
      <c r="B56" s="46" t="s">
        <v>93</v>
      </c>
      <c r="C56" s="46" t="s">
        <v>89</v>
      </c>
      <c r="D56" s="46">
        <v>17</v>
      </c>
      <c r="E56" s="46">
        <v>18</v>
      </c>
      <c r="F56" s="47">
        <v>44371</v>
      </c>
      <c r="G56" s="48" t="s">
        <v>89</v>
      </c>
      <c r="H56" s="48" t="s">
        <v>89</v>
      </c>
      <c r="I56" s="48" t="s">
        <v>89</v>
      </c>
      <c r="J56" s="48" t="s">
        <v>89</v>
      </c>
      <c r="K56" s="48" t="s">
        <v>89</v>
      </c>
      <c r="L56" s="48" t="s">
        <v>89</v>
      </c>
      <c r="M56" s="48" t="s">
        <v>89</v>
      </c>
      <c r="N56" s="48" t="s">
        <v>89</v>
      </c>
      <c r="O56" s="48" t="s">
        <v>89</v>
      </c>
      <c r="P56" s="48" t="s">
        <v>89</v>
      </c>
      <c r="Q56" s="48" t="s">
        <v>89</v>
      </c>
      <c r="R56" s="48" t="s">
        <v>89</v>
      </c>
      <c r="S56" s="48" t="s">
        <v>89</v>
      </c>
      <c r="T56" s="48" t="s">
        <v>89</v>
      </c>
      <c r="U56" s="48" t="s">
        <v>89</v>
      </c>
      <c r="V56" s="46" t="s">
        <v>89</v>
      </c>
      <c r="W56" s="46" t="s">
        <v>89</v>
      </c>
      <c r="X56" s="46" t="s">
        <v>89</v>
      </c>
      <c r="Y56" s="46" t="s">
        <v>89</v>
      </c>
      <c r="Z56" s="46" t="s">
        <v>89</v>
      </c>
      <c r="AA56" s="46" t="s">
        <v>89</v>
      </c>
      <c r="AB56" s="46" t="s">
        <v>89</v>
      </c>
      <c r="AC56" s="46" t="s">
        <v>89</v>
      </c>
      <c r="AD56" s="46" t="s">
        <v>89</v>
      </c>
      <c r="AE56" s="46" t="s">
        <v>89</v>
      </c>
      <c r="AF56" s="46" t="s">
        <v>89</v>
      </c>
      <c r="AG56" s="46" t="s">
        <v>89</v>
      </c>
      <c r="AH56" s="46" t="s">
        <v>89</v>
      </c>
      <c r="AI56" s="48" t="s">
        <v>89</v>
      </c>
      <c r="AJ56" s="48" t="s">
        <v>89</v>
      </c>
      <c r="AK56" s="46">
        <v>0</v>
      </c>
      <c r="AL56" s="46">
        <v>0</v>
      </c>
      <c r="AM56" s="49">
        <v>1</v>
      </c>
      <c r="AN56" s="46" t="s">
        <v>89</v>
      </c>
      <c r="AO56" s="46" t="s">
        <v>89</v>
      </c>
      <c r="AP56" s="46"/>
      <c r="AQ56" s="50" t="str">
        <f t="shared" si="4"/>
        <v>N.A.</v>
      </c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52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</row>
    <row r="57" spans="1:81" ht="15" customHeight="1" x14ac:dyDescent="0.25">
      <c r="A57" s="46" t="s">
        <v>139</v>
      </c>
      <c r="B57" s="46" t="s">
        <v>93</v>
      </c>
      <c r="C57" s="46" t="s">
        <v>89</v>
      </c>
      <c r="D57" s="46">
        <v>148</v>
      </c>
      <c r="E57" s="46">
        <v>149</v>
      </c>
      <c r="F57" s="47">
        <v>44372</v>
      </c>
      <c r="G57" s="48" t="s">
        <v>89</v>
      </c>
      <c r="H57" s="48" t="s">
        <v>89</v>
      </c>
      <c r="I57" s="46" t="s">
        <v>89</v>
      </c>
      <c r="J57" s="46" t="s">
        <v>89</v>
      </c>
      <c r="K57" s="46" t="s">
        <v>89</v>
      </c>
      <c r="L57" s="46" t="s">
        <v>89</v>
      </c>
      <c r="M57" s="46" t="s">
        <v>89</v>
      </c>
      <c r="N57" s="46" t="s">
        <v>89</v>
      </c>
      <c r="O57" s="46" t="s">
        <v>89</v>
      </c>
      <c r="P57" s="46" t="s">
        <v>89</v>
      </c>
      <c r="Q57" s="46" t="s">
        <v>89</v>
      </c>
      <c r="R57" s="46" t="s">
        <v>89</v>
      </c>
      <c r="S57" s="46" t="s">
        <v>89</v>
      </c>
      <c r="T57" s="46" t="s">
        <v>89</v>
      </c>
      <c r="U57" s="46" t="s">
        <v>89</v>
      </c>
      <c r="V57" s="46" t="s">
        <v>89</v>
      </c>
      <c r="W57" s="46" t="s">
        <v>89</v>
      </c>
      <c r="X57" s="46" t="s">
        <v>89</v>
      </c>
      <c r="Y57" s="46" t="s">
        <v>89</v>
      </c>
      <c r="Z57" s="46" t="s">
        <v>89</v>
      </c>
      <c r="AA57" s="46" t="s">
        <v>89</v>
      </c>
      <c r="AB57" s="46" t="s">
        <v>89</v>
      </c>
      <c r="AC57" s="46" t="s">
        <v>89</v>
      </c>
      <c r="AD57" s="46" t="s">
        <v>89</v>
      </c>
      <c r="AE57" s="46" t="s">
        <v>89</v>
      </c>
      <c r="AF57" s="46" t="s">
        <v>89</v>
      </c>
      <c r="AG57" s="46" t="s">
        <v>89</v>
      </c>
      <c r="AH57" s="46" t="s">
        <v>89</v>
      </c>
      <c r="AI57" s="46" t="s">
        <v>89</v>
      </c>
      <c r="AJ57" s="46" t="s">
        <v>89</v>
      </c>
      <c r="AK57" s="46">
        <v>0</v>
      </c>
      <c r="AL57" s="46">
        <v>0</v>
      </c>
      <c r="AM57" s="49">
        <v>1</v>
      </c>
      <c r="AN57" s="46" t="s">
        <v>89</v>
      </c>
      <c r="AO57" s="46" t="s">
        <v>89</v>
      </c>
      <c r="AP57" s="46"/>
      <c r="AQ57" s="50" t="str">
        <f t="shared" si="4"/>
        <v>N.A.</v>
      </c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52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</row>
    <row r="58" spans="1:81" ht="15" customHeight="1" x14ac:dyDescent="0.25">
      <c r="A58" s="46" t="s">
        <v>140</v>
      </c>
      <c r="B58" s="46" t="s">
        <v>93</v>
      </c>
      <c r="C58" s="46" t="s">
        <v>89</v>
      </c>
      <c r="D58" s="46">
        <v>152</v>
      </c>
      <c r="E58" s="46">
        <v>153</v>
      </c>
      <c r="F58" s="47">
        <v>44372</v>
      </c>
      <c r="G58" s="48" t="s">
        <v>89</v>
      </c>
      <c r="H58" s="48" t="s">
        <v>89</v>
      </c>
      <c r="I58" s="48" t="s">
        <v>89</v>
      </c>
      <c r="J58" s="48" t="s">
        <v>89</v>
      </c>
      <c r="K58" s="48" t="s">
        <v>89</v>
      </c>
      <c r="L58" s="48" t="s">
        <v>89</v>
      </c>
      <c r="M58" s="48" t="s">
        <v>89</v>
      </c>
      <c r="N58" s="48" t="s">
        <v>89</v>
      </c>
      <c r="O58" s="48" t="s">
        <v>89</v>
      </c>
      <c r="P58" s="48" t="s">
        <v>89</v>
      </c>
      <c r="Q58" s="48" t="s">
        <v>89</v>
      </c>
      <c r="R58" s="48" t="s">
        <v>89</v>
      </c>
      <c r="S58" s="48" t="s">
        <v>89</v>
      </c>
      <c r="T58" s="48" t="s">
        <v>89</v>
      </c>
      <c r="U58" s="48" t="s">
        <v>89</v>
      </c>
      <c r="V58" s="46" t="s">
        <v>89</v>
      </c>
      <c r="W58" s="46" t="s">
        <v>89</v>
      </c>
      <c r="X58" s="46" t="s">
        <v>89</v>
      </c>
      <c r="Y58" s="46" t="s">
        <v>89</v>
      </c>
      <c r="Z58" s="46" t="s">
        <v>89</v>
      </c>
      <c r="AA58" s="46" t="s">
        <v>89</v>
      </c>
      <c r="AB58" s="46" t="s">
        <v>89</v>
      </c>
      <c r="AC58" s="46" t="s">
        <v>89</v>
      </c>
      <c r="AD58" s="46" t="s">
        <v>89</v>
      </c>
      <c r="AE58" s="46" t="s">
        <v>89</v>
      </c>
      <c r="AF58" s="46" t="s">
        <v>89</v>
      </c>
      <c r="AG58" s="46" t="s">
        <v>89</v>
      </c>
      <c r="AH58" s="46" t="s">
        <v>89</v>
      </c>
      <c r="AI58" s="48" t="s">
        <v>89</v>
      </c>
      <c r="AJ58" s="48" t="s">
        <v>89</v>
      </c>
      <c r="AK58" s="46">
        <v>0</v>
      </c>
      <c r="AL58" s="46">
        <v>0</v>
      </c>
      <c r="AM58" s="49">
        <v>1</v>
      </c>
      <c r="AN58" s="46" t="s">
        <v>89</v>
      </c>
      <c r="AO58" s="46" t="s">
        <v>89</v>
      </c>
      <c r="AP58" s="46"/>
      <c r="AQ58" s="50" t="str">
        <f t="shared" si="4"/>
        <v>N.A.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52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</row>
    <row r="59" spans="1:81" ht="15" customHeight="1" x14ac:dyDescent="0.25">
      <c r="A59" s="46" t="s">
        <v>141</v>
      </c>
      <c r="B59" s="46" t="s">
        <v>93</v>
      </c>
      <c r="C59" s="46" t="s">
        <v>89</v>
      </c>
      <c r="D59" s="46">
        <v>26</v>
      </c>
      <c r="E59" s="46">
        <v>27</v>
      </c>
      <c r="F59" s="47">
        <v>44373</v>
      </c>
      <c r="G59" s="48" t="s">
        <v>89</v>
      </c>
      <c r="H59" s="48" t="s">
        <v>89</v>
      </c>
      <c r="I59" s="48" t="s">
        <v>89</v>
      </c>
      <c r="J59" s="48" t="s">
        <v>89</v>
      </c>
      <c r="K59" s="48" t="s">
        <v>89</v>
      </c>
      <c r="L59" s="48" t="s">
        <v>89</v>
      </c>
      <c r="M59" s="48" t="s">
        <v>89</v>
      </c>
      <c r="N59" s="48" t="s">
        <v>89</v>
      </c>
      <c r="O59" s="48" t="s">
        <v>89</v>
      </c>
      <c r="P59" s="48" t="s">
        <v>89</v>
      </c>
      <c r="Q59" s="48" t="s">
        <v>89</v>
      </c>
      <c r="R59" s="48" t="s">
        <v>89</v>
      </c>
      <c r="S59" s="48" t="s">
        <v>89</v>
      </c>
      <c r="T59" s="48" t="s">
        <v>89</v>
      </c>
      <c r="U59" s="46">
        <v>84</v>
      </c>
      <c r="V59" s="46">
        <f t="shared" ref="V59:V60" si="30">W59+Z59</f>
        <v>80</v>
      </c>
      <c r="W59" s="46">
        <v>80</v>
      </c>
      <c r="X59" s="46">
        <f t="shared" ref="X59:X60" si="31">W59-Y59</f>
        <v>79</v>
      </c>
      <c r="Y59" s="46">
        <v>1</v>
      </c>
      <c r="Z59" s="46">
        <f t="shared" ref="Z59:Z60" si="32">SUM(AA59:AG59)</f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f t="shared" ref="AH59:AH60" si="33">SUM(AI59:AL59)</f>
        <v>4</v>
      </c>
      <c r="AI59" s="46">
        <v>4</v>
      </c>
      <c r="AJ59" s="46">
        <v>0</v>
      </c>
      <c r="AK59" s="46">
        <v>0</v>
      </c>
      <c r="AL59" s="46">
        <v>0</v>
      </c>
      <c r="AM59" s="49">
        <v>1</v>
      </c>
      <c r="AN59" s="47">
        <v>44434</v>
      </c>
      <c r="AO59" s="47">
        <v>44426</v>
      </c>
      <c r="AP59" s="46"/>
      <c r="AQ59" s="50">
        <f t="shared" si="4"/>
        <v>61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52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</row>
    <row r="60" spans="1:81" ht="15" customHeight="1" x14ac:dyDescent="0.25">
      <c r="A60" s="46" t="s">
        <v>142</v>
      </c>
      <c r="B60" s="46" t="s">
        <v>93</v>
      </c>
      <c r="C60" s="46" t="s">
        <v>89</v>
      </c>
      <c r="D60" s="46">
        <v>36</v>
      </c>
      <c r="E60" s="46">
        <v>37</v>
      </c>
      <c r="F60" s="47">
        <v>44373</v>
      </c>
      <c r="G60" s="48" t="s">
        <v>89</v>
      </c>
      <c r="H60" s="48" t="s">
        <v>89</v>
      </c>
      <c r="I60" s="46" t="s">
        <v>89</v>
      </c>
      <c r="J60" s="46" t="s">
        <v>89</v>
      </c>
      <c r="K60" s="46" t="s">
        <v>89</v>
      </c>
      <c r="L60" s="46" t="s">
        <v>89</v>
      </c>
      <c r="M60" s="46" t="s">
        <v>89</v>
      </c>
      <c r="N60" s="46" t="s">
        <v>89</v>
      </c>
      <c r="O60" s="46" t="s">
        <v>89</v>
      </c>
      <c r="P60" s="46" t="s">
        <v>89</v>
      </c>
      <c r="Q60" s="46" t="s">
        <v>89</v>
      </c>
      <c r="R60" s="46" t="s">
        <v>89</v>
      </c>
      <c r="S60" s="46" t="s">
        <v>89</v>
      </c>
      <c r="T60" s="46" t="s">
        <v>89</v>
      </c>
      <c r="U60" s="46">
        <v>65</v>
      </c>
      <c r="V60" s="46">
        <f t="shared" si="30"/>
        <v>32</v>
      </c>
      <c r="W60" s="46">
        <v>32</v>
      </c>
      <c r="X60" s="46">
        <f t="shared" si="31"/>
        <v>32</v>
      </c>
      <c r="Y60" s="46">
        <v>0</v>
      </c>
      <c r="Z60" s="46">
        <f t="shared" si="32"/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f t="shared" si="33"/>
        <v>33</v>
      </c>
      <c r="AI60" s="46">
        <v>33</v>
      </c>
      <c r="AJ60" s="46">
        <v>0</v>
      </c>
      <c r="AK60" s="46">
        <v>0</v>
      </c>
      <c r="AL60" s="46">
        <v>0</v>
      </c>
      <c r="AM60" s="49">
        <v>1</v>
      </c>
      <c r="AN60" s="47">
        <v>44427</v>
      </c>
      <c r="AO60" s="47">
        <v>44425</v>
      </c>
      <c r="AP60" s="46"/>
      <c r="AQ60" s="50">
        <f t="shared" si="4"/>
        <v>54</v>
      </c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52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</row>
    <row r="61" spans="1:81" ht="15" customHeight="1" x14ac:dyDescent="0.25">
      <c r="A61" s="46" t="s">
        <v>143</v>
      </c>
      <c r="B61" s="46" t="s">
        <v>88</v>
      </c>
      <c r="C61" s="46" t="s">
        <v>89</v>
      </c>
      <c r="D61" s="46">
        <v>68</v>
      </c>
      <c r="E61" s="46">
        <v>69</v>
      </c>
      <c r="F61" s="47">
        <v>44374</v>
      </c>
      <c r="G61" s="48" t="s">
        <v>89</v>
      </c>
      <c r="H61" s="48" t="s">
        <v>89</v>
      </c>
      <c r="I61" s="46" t="s">
        <v>89</v>
      </c>
      <c r="J61" s="46" t="s">
        <v>89</v>
      </c>
      <c r="K61" s="46" t="s">
        <v>89</v>
      </c>
      <c r="L61" s="46" t="s">
        <v>89</v>
      </c>
      <c r="M61" s="46" t="s">
        <v>89</v>
      </c>
      <c r="N61" s="46" t="s">
        <v>89</v>
      </c>
      <c r="O61" s="46" t="s">
        <v>89</v>
      </c>
      <c r="P61" s="46" t="s">
        <v>89</v>
      </c>
      <c r="Q61" s="46" t="s">
        <v>89</v>
      </c>
      <c r="R61" s="46" t="s">
        <v>89</v>
      </c>
      <c r="S61" s="46" t="s">
        <v>89</v>
      </c>
      <c r="T61" s="46" t="s">
        <v>89</v>
      </c>
      <c r="U61" s="46" t="s">
        <v>89</v>
      </c>
      <c r="V61" s="46" t="s">
        <v>89</v>
      </c>
      <c r="W61" s="46" t="s">
        <v>89</v>
      </c>
      <c r="X61" s="46" t="s">
        <v>89</v>
      </c>
      <c r="Y61" s="46" t="s">
        <v>89</v>
      </c>
      <c r="Z61" s="46" t="s">
        <v>89</v>
      </c>
      <c r="AA61" s="46" t="s">
        <v>89</v>
      </c>
      <c r="AB61" s="46" t="s">
        <v>89</v>
      </c>
      <c r="AC61" s="46" t="s">
        <v>89</v>
      </c>
      <c r="AD61" s="46" t="s">
        <v>89</v>
      </c>
      <c r="AE61" s="46" t="s">
        <v>89</v>
      </c>
      <c r="AF61" s="46" t="s">
        <v>89</v>
      </c>
      <c r="AG61" s="46" t="s">
        <v>89</v>
      </c>
      <c r="AH61" s="46" t="s">
        <v>89</v>
      </c>
      <c r="AI61" s="46" t="s">
        <v>89</v>
      </c>
      <c r="AJ61" s="46" t="s">
        <v>89</v>
      </c>
      <c r="AK61" s="46">
        <v>0</v>
      </c>
      <c r="AL61" s="46">
        <v>0</v>
      </c>
      <c r="AM61" s="49">
        <v>1</v>
      </c>
      <c r="AN61" s="46" t="s">
        <v>89</v>
      </c>
      <c r="AO61" s="46" t="s">
        <v>89</v>
      </c>
      <c r="AP61" s="46"/>
      <c r="AQ61" s="50" t="str">
        <f t="shared" si="4"/>
        <v>N.A.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52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</row>
    <row r="62" spans="1:81" ht="15" customHeight="1" x14ac:dyDescent="0.25">
      <c r="A62" s="46" t="s">
        <v>144</v>
      </c>
      <c r="B62" s="46" t="s">
        <v>93</v>
      </c>
      <c r="C62" s="46" t="s">
        <v>89</v>
      </c>
      <c r="D62" s="46">
        <v>72</v>
      </c>
      <c r="E62" s="46">
        <v>73</v>
      </c>
      <c r="F62" s="47">
        <v>44374</v>
      </c>
      <c r="G62" s="48" t="s">
        <v>89</v>
      </c>
      <c r="H62" s="48" t="s">
        <v>89</v>
      </c>
      <c r="I62" s="46" t="s">
        <v>89</v>
      </c>
      <c r="J62" s="46" t="s">
        <v>89</v>
      </c>
      <c r="K62" s="46" t="s">
        <v>89</v>
      </c>
      <c r="L62" s="46" t="s">
        <v>89</v>
      </c>
      <c r="M62" s="46" t="s">
        <v>89</v>
      </c>
      <c r="N62" s="46" t="s">
        <v>89</v>
      </c>
      <c r="O62" s="46" t="s">
        <v>89</v>
      </c>
      <c r="P62" s="46" t="s">
        <v>89</v>
      </c>
      <c r="Q62" s="46" t="s">
        <v>89</v>
      </c>
      <c r="R62" s="46" t="s">
        <v>89</v>
      </c>
      <c r="S62" s="46" t="s">
        <v>89</v>
      </c>
      <c r="T62" s="46" t="s">
        <v>89</v>
      </c>
      <c r="U62" s="46" t="s">
        <v>89</v>
      </c>
      <c r="V62" s="46" t="s">
        <v>89</v>
      </c>
      <c r="W62" s="46" t="s">
        <v>89</v>
      </c>
      <c r="X62" s="46" t="s">
        <v>89</v>
      </c>
      <c r="Y62" s="46" t="s">
        <v>89</v>
      </c>
      <c r="Z62" s="46" t="s">
        <v>89</v>
      </c>
      <c r="AA62" s="46" t="s">
        <v>89</v>
      </c>
      <c r="AB62" s="46" t="s">
        <v>89</v>
      </c>
      <c r="AC62" s="46" t="s">
        <v>89</v>
      </c>
      <c r="AD62" s="46" t="s">
        <v>89</v>
      </c>
      <c r="AE62" s="46" t="s">
        <v>89</v>
      </c>
      <c r="AF62" s="46" t="s">
        <v>89</v>
      </c>
      <c r="AG62" s="46" t="s">
        <v>89</v>
      </c>
      <c r="AH62" s="46" t="s">
        <v>89</v>
      </c>
      <c r="AI62" s="46" t="s">
        <v>89</v>
      </c>
      <c r="AJ62" s="46" t="s">
        <v>89</v>
      </c>
      <c r="AK62" s="46">
        <v>0</v>
      </c>
      <c r="AL62" s="46">
        <v>0</v>
      </c>
      <c r="AM62" s="49">
        <v>1</v>
      </c>
      <c r="AN62" s="46" t="s">
        <v>89</v>
      </c>
      <c r="AO62" s="46" t="s">
        <v>89</v>
      </c>
      <c r="AP62" s="46"/>
      <c r="AQ62" s="50" t="str">
        <f t="shared" si="4"/>
        <v>N.A.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52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</row>
    <row r="63" spans="1:81" ht="15" customHeight="1" x14ac:dyDescent="0.25">
      <c r="A63" s="46" t="s">
        <v>145</v>
      </c>
      <c r="B63" s="46" t="s">
        <v>93</v>
      </c>
      <c r="C63" s="46" t="s">
        <v>89</v>
      </c>
      <c r="D63" s="46">
        <v>10</v>
      </c>
      <c r="E63" s="46">
        <v>11</v>
      </c>
      <c r="F63" s="47">
        <v>44375</v>
      </c>
      <c r="G63" s="48" t="s">
        <v>89</v>
      </c>
      <c r="H63" s="48" t="s">
        <v>89</v>
      </c>
      <c r="I63" s="46" t="s">
        <v>89</v>
      </c>
      <c r="J63" s="46" t="s">
        <v>89</v>
      </c>
      <c r="K63" s="46" t="s">
        <v>89</v>
      </c>
      <c r="L63" s="46" t="s">
        <v>89</v>
      </c>
      <c r="M63" s="46" t="s">
        <v>89</v>
      </c>
      <c r="N63" s="46" t="s">
        <v>89</v>
      </c>
      <c r="O63" s="46" t="s">
        <v>89</v>
      </c>
      <c r="P63" s="46" t="s">
        <v>89</v>
      </c>
      <c r="Q63" s="46" t="s">
        <v>89</v>
      </c>
      <c r="R63" s="46" t="s">
        <v>89</v>
      </c>
      <c r="S63" s="46" t="s">
        <v>89</v>
      </c>
      <c r="T63" s="46" t="s">
        <v>89</v>
      </c>
      <c r="U63" s="46">
        <v>81</v>
      </c>
      <c r="V63" s="46">
        <f t="shared" ref="V63:V64" si="34">W63+Z63</f>
        <v>78</v>
      </c>
      <c r="W63" s="46">
        <v>77</v>
      </c>
      <c r="X63" s="46">
        <f t="shared" ref="X63:X64" si="35">W63-Y63</f>
        <v>77</v>
      </c>
      <c r="Y63" s="46">
        <v>0</v>
      </c>
      <c r="Z63" s="46">
        <f t="shared" ref="Z63:Z64" si="36">SUM(AA63:AG63)</f>
        <v>1</v>
      </c>
      <c r="AA63" s="46">
        <v>0</v>
      </c>
      <c r="AB63" s="46">
        <v>0</v>
      </c>
      <c r="AC63" s="46">
        <v>0</v>
      </c>
      <c r="AD63" s="46">
        <v>1</v>
      </c>
      <c r="AE63" s="46">
        <v>0</v>
      </c>
      <c r="AF63" s="46">
        <v>0</v>
      </c>
      <c r="AG63" s="46">
        <v>0</v>
      </c>
      <c r="AH63" s="46">
        <f t="shared" ref="AH63:AH64" si="37">SUM(AI63:AL63)</f>
        <v>3</v>
      </c>
      <c r="AI63" s="46">
        <v>2</v>
      </c>
      <c r="AJ63" s="46">
        <v>1</v>
      </c>
      <c r="AK63" s="46">
        <v>0</v>
      </c>
      <c r="AL63" s="46">
        <v>0</v>
      </c>
      <c r="AM63" s="49">
        <v>1</v>
      </c>
      <c r="AN63" s="46" t="s">
        <v>89</v>
      </c>
      <c r="AO63" s="46" t="s">
        <v>89</v>
      </c>
      <c r="AP63" s="46"/>
      <c r="AQ63" s="50" t="str">
        <f t="shared" si="4"/>
        <v>N.A.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52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</row>
    <row r="64" spans="1:81" ht="15" customHeight="1" x14ac:dyDescent="0.25">
      <c r="A64" s="46" t="s">
        <v>146</v>
      </c>
      <c r="B64" s="46" t="s">
        <v>93</v>
      </c>
      <c r="C64" s="46" t="s">
        <v>89</v>
      </c>
      <c r="D64" s="46">
        <v>15</v>
      </c>
      <c r="E64" s="46">
        <v>16</v>
      </c>
      <c r="F64" s="47">
        <v>44375</v>
      </c>
      <c r="G64" s="48" t="s">
        <v>89</v>
      </c>
      <c r="H64" s="48" t="s">
        <v>89</v>
      </c>
      <c r="I64" s="46" t="s">
        <v>89</v>
      </c>
      <c r="J64" s="46" t="s">
        <v>89</v>
      </c>
      <c r="K64" s="46" t="s">
        <v>89</v>
      </c>
      <c r="L64" s="46" t="s">
        <v>89</v>
      </c>
      <c r="M64" s="46" t="s">
        <v>89</v>
      </c>
      <c r="N64" s="46" t="s">
        <v>89</v>
      </c>
      <c r="O64" s="46" t="s">
        <v>89</v>
      </c>
      <c r="P64" s="46" t="s">
        <v>89</v>
      </c>
      <c r="Q64" s="46" t="s">
        <v>89</v>
      </c>
      <c r="R64" s="46" t="s">
        <v>89</v>
      </c>
      <c r="S64" s="46" t="s">
        <v>89</v>
      </c>
      <c r="T64" s="46" t="s">
        <v>89</v>
      </c>
      <c r="U64" s="57">
        <v>130</v>
      </c>
      <c r="V64" s="46">
        <f t="shared" si="34"/>
        <v>130</v>
      </c>
      <c r="W64" s="46">
        <v>124</v>
      </c>
      <c r="X64" s="46">
        <f t="shared" si="35"/>
        <v>124</v>
      </c>
      <c r="Y64" s="46">
        <v>0</v>
      </c>
      <c r="Z64" s="46">
        <f t="shared" si="36"/>
        <v>6</v>
      </c>
      <c r="AA64" s="46">
        <v>0</v>
      </c>
      <c r="AB64" s="46">
        <v>3</v>
      </c>
      <c r="AC64" s="46">
        <v>2</v>
      </c>
      <c r="AD64" s="46"/>
      <c r="AE64" s="46">
        <v>0</v>
      </c>
      <c r="AF64" s="46">
        <v>0</v>
      </c>
      <c r="AG64" s="46">
        <v>1</v>
      </c>
      <c r="AH64" s="46">
        <f t="shared" si="37"/>
        <v>0</v>
      </c>
      <c r="AI64" s="46">
        <v>0</v>
      </c>
      <c r="AJ64" s="46">
        <v>0</v>
      </c>
      <c r="AK64" s="46">
        <v>0</v>
      </c>
      <c r="AL64" s="46">
        <v>0</v>
      </c>
      <c r="AM64" s="49">
        <v>1</v>
      </c>
      <c r="AN64" s="47">
        <v>44440</v>
      </c>
      <c r="AO64" s="47">
        <v>44434</v>
      </c>
      <c r="AP64" s="46"/>
      <c r="AQ64" s="50">
        <f t="shared" si="4"/>
        <v>65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52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</row>
    <row r="65" spans="1:81" ht="15" customHeight="1" x14ac:dyDescent="0.25">
      <c r="A65" s="46" t="s">
        <v>147</v>
      </c>
      <c r="B65" s="46" t="s">
        <v>93</v>
      </c>
      <c r="C65" s="46" t="s">
        <v>89</v>
      </c>
      <c r="D65" s="46">
        <v>45</v>
      </c>
      <c r="E65" s="46">
        <v>46</v>
      </c>
      <c r="F65" s="47">
        <v>44375</v>
      </c>
      <c r="G65" s="48" t="s">
        <v>89</v>
      </c>
      <c r="H65" s="48" t="s">
        <v>89</v>
      </c>
      <c r="I65" s="46" t="s">
        <v>89</v>
      </c>
      <c r="J65" s="46" t="s">
        <v>89</v>
      </c>
      <c r="K65" s="46" t="s">
        <v>89</v>
      </c>
      <c r="L65" s="46" t="s">
        <v>89</v>
      </c>
      <c r="M65" s="46" t="s">
        <v>89</v>
      </c>
      <c r="N65" s="46" t="s">
        <v>89</v>
      </c>
      <c r="O65" s="46" t="s">
        <v>89</v>
      </c>
      <c r="P65" s="46" t="s">
        <v>89</v>
      </c>
      <c r="Q65" s="46" t="s">
        <v>89</v>
      </c>
      <c r="R65" s="46" t="s">
        <v>89</v>
      </c>
      <c r="S65" s="46" t="s">
        <v>89</v>
      </c>
      <c r="T65" s="46" t="s">
        <v>89</v>
      </c>
      <c r="U65" s="46" t="s">
        <v>89</v>
      </c>
      <c r="V65" s="46">
        <v>108</v>
      </c>
      <c r="W65" s="46">
        <v>108</v>
      </c>
      <c r="X65" s="46" t="s">
        <v>89</v>
      </c>
      <c r="Y65" s="46" t="s">
        <v>89</v>
      </c>
      <c r="Z65" s="46" t="s">
        <v>89</v>
      </c>
      <c r="AA65" s="46" t="s">
        <v>89</v>
      </c>
      <c r="AB65" s="46" t="s">
        <v>89</v>
      </c>
      <c r="AC65" s="46" t="s">
        <v>89</v>
      </c>
      <c r="AD65" s="46" t="s">
        <v>89</v>
      </c>
      <c r="AE65" s="46" t="s">
        <v>89</v>
      </c>
      <c r="AF65" s="46" t="s">
        <v>89</v>
      </c>
      <c r="AG65" s="46" t="s">
        <v>89</v>
      </c>
      <c r="AH65" s="46" t="s">
        <v>89</v>
      </c>
      <c r="AI65" s="46" t="s">
        <v>89</v>
      </c>
      <c r="AJ65" s="46" t="s">
        <v>89</v>
      </c>
      <c r="AK65" s="46">
        <v>0</v>
      </c>
      <c r="AL65" s="46">
        <v>0</v>
      </c>
      <c r="AM65" s="49">
        <v>1</v>
      </c>
      <c r="AN65" s="46" t="s">
        <v>89</v>
      </c>
      <c r="AO65" s="46" t="s">
        <v>89</v>
      </c>
      <c r="AP65" s="46"/>
      <c r="AQ65" s="50" t="str">
        <f t="shared" si="4"/>
        <v>N.A.</v>
      </c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52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</row>
    <row r="66" spans="1:81" ht="15" customHeight="1" x14ac:dyDescent="0.25">
      <c r="A66" s="46" t="s">
        <v>148</v>
      </c>
      <c r="B66" s="46" t="s">
        <v>93</v>
      </c>
      <c r="C66" s="46" t="s">
        <v>89</v>
      </c>
      <c r="D66" s="46">
        <v>58</v>
      </c>
      <c r="E66" s="46">
        <v>59</v>
      </c>
      <c r="F66" s="47">
        <v>44375</v>
      </c>
      <c r="G66" s="48" t="s">
        <v>89</v>
      </c>
      <c r="H66" s="48" t="s">
        <v>89</v>
      </c>
      <c r="I66" s="46" t="s">
        <v>89</v>
      </c>
      <c r="J66" s="46" t="s">
        <v>89</v>
      </c>
      <c r="K66" s="46" t="s">
        <v>89</v>
      </c>
      <c r="L66" s="46" t="s">
        <v>89</v>
      </c>
      <c r="M66" s="46" t="s">
        <v>89</v>
      </c>
      <c r="N66" s="46" t="s">
        <v>89</v>
      </c>
      <c r="O66" s="46" t="s">
        <v>89</v>
      </c>
      <c r="P66" s="46" t="s">
        <v>89</v>
      </c>
      <c r="Q66" s="46" t="s">
        <v>89</v>
      </c>
      <c r="R66" s="46" t="s">
        <v>89</v>
      </c>
      <c r="S66" s="46" t="s">
        <v>89</v>
      </c>
      <c r="T66" s="46" t="s">
        <v>89</v>
      </c>
      <c r="U66" s="46">
        <v>70</v>
      </c>
      <c r="V66" s="46">
        <f t="shared" ref="V66:V68" si="38">W66+Z66</f>
        <v>67</v>
      </c>
      <c r="W66" s="46">
        <v>63</v>
      </c>
      <c r="X66" s="46">
        <f t="shared" ref="X66:X68" si="39">W66-Y66</f>
        <v>63</v>
      </c>
      <c r="Y66" s="46">
        <v>0</v>
      </c>
      <c r="Z66" s="46">
        <f t="shared" ref="Z66:Z68" si="40">SUM(AA66:AG66)</f>
        <v>4</v>
      </c>
      <c r="AA66" s="46">
        <v>0</v>
      </c>
      <c r="AB66" s="46">
        <v>3</v>
      </c>
      <c r="AC66" s="46">
        <v>1</v>
      </c>
      <c r="AD66" s="46">
        <v>0</v>
      </c>
      <c r="AE66" s="46">
        <v>0</v>
      </c>
      <c r="AF66" s="46">
        <v>0</v>
      </c>
      <c r="AG66" s="46">
        <v>0</v>
      </c>
      <c r="AH66" s="46">
        <f t="shared" ref="AH66:AH68" si="41">SUM(AI66:AL66)</f>
        <v>3</v>
      </c>
      <c r="AI66" s="46">
        <v>3</v>
      </c>
      <c r="AJ66" s="46">
        <v>0</v>
      </c>
      <c r="AK66" s="46">
        <v>0</v>
      </c>
      <c r="AL66" s="46">
        <v>0</v>
      </c>
      <c r="AM66" s="49">
        <v>1</v>
      </c>
      <c r="AN66" s="47">
        <v>44440</v>
      </c>
      <c r="AO66" s="46" t="s">
        <v>89</v>
      </c>
      <c r="AP66" s="46"/>
      <c r="AQ66" s="50">
        <f t="shared" si="4"/>
        <v>65</v>
      </c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52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</row>
    <row r="67" spans="1:81" ht="15" customHeight="1" x14ac:dyDescent="0.25">
      <c r="A67" s="46" t="s">
        <v>149</v>
      </c>
      <c r="B67" s="46" t="s">
        <v>93</v>
      </c>
      <c r="C67" s="46" t="s">
        <v>89</v>
      </c>
      <c r="D67" s="46">
        <v>67</v>
      </c>
      <c r="E67" s="46">
        <v>68</v>
      </c>
      <c r="F67" s="47">
        <v>44375</v>
      </c>
      <c r="G67" s="48" t="s">
        <v>89</v>
      </c>
      <c r="H67" s="48" t="s">
        <v>89</v>
      </c>
      <c r="I67" s="46" t="s">
        <v>89</v>
      </c>
      <c r="J67" s="46" t="s">
        <v>89</v>
      </c>
      <c r="K67" s="46" t="s">
        <v>89</v>
      </c>
      <c r="L67" s="46" t="s">
        <v>89</v>
      </c>
      <c r="M67" s="46" t="s">
        <v>89</v>
      </c>
      <c r="N67" s="46" t="s">
        <v>89</v>
      </c>
      <c r="O67" s="46" t="s">
        <v>89</v>
      </c>
      <c r="P67" s="46" t="s">
        <v>89</v>
      </c>
      <c r="Q67" s="46" t="s">
        <v>89</v>
      </c>
      <c r="R67" s="46" t="s">
        <v>89</v>
      </c>
      <c r="S67" s="46" t="s">
        <v>89</v>
      </c>
      <c r="T67" s="46" t="s">
        <v>89</v>
      </c>
      <c r="U67" s="46" t="s">
        <v>89</v>
      </c>
      <c r="V67" s="46">
        <f t="shared" si="38"/>
        <v>108</v>
      </c>
      <c r="W67" s="46">
        <v>108</v>
      </c>
      <c r="X67" s="46">
        <f t="shared" si="39"/>
        <v>108</v>
      </c>
      <c r="Y67" s="46">
        <v>0</v>
      </c>
      <c r="Z67" s="46">
        <f t="shared" si="40"/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f t="shared" si="41"/>
        <v>0</v>
      </c>
      <c r="AI67" s="46" t="s">
        <v>89</v>
      </c>
      <c r="AJ67" s="46">
        <v>0</v>
      </c>
      <c r="AK67" s="46">
        <v>0</v>
      </c>
      <c r="AL67" s="46">
        <v>0</v>
      </c>
      <c r="AM67" s="49">
        <v>1</v>
      </c>
      <c r="AN67" s="46" t="s">
        <v>89</v>
      </c>
      <c r="AO67" s="46" t="s">
        <v>89</v>
      </c>
      <c r="AP67" s="46"/>
      <c r="AQ67" s="50" t="str">
        <f t="shared" si="4"/>
        <v>N.A.</v>
      </c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52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</row>
    <row r="68" spans="1:81" ht="15" customHeight="1" x14ac:dyDescent="0.25">
      <c r="A68" s="46" t="s">
        <v>150</v>
      </c>
      <c r="B68" s="46" t="s">
        <v>93</v>
      </c>
      <c r="C68" s="46" t="s">
        <v>89</v>
      </c>
      <c r="D68" s="46">
        <v>148</v>
      </c>
      <c r="E68" s="46">
        <v>149</v>
      </c>
      <c r="F68" s="47">
        <v>44375</v>
      </c>
      <c r="G68" s="48" t="s">
        <v>89</v>
      </c>
      <c r="H68" s="48" t="s">
        <v>89</v>
      </c>
      <c r="I68" s="46" t="s">
        <v>89</v>
      </c>
      <c r="J68" s="46" t="s">
        <v>89</v>
      </c>
      <c r="K68" s="46" t="s">
        <v>89</v>
      </c>
      <c r="L68" s="46" t="s">
        <v>89</v>
      </c>
      <c r="M68" s="46" t="s">
        <v>89</v>
      </c>
      <c r="N68" s="46" t="s">
        <v>89</v>
      </c>
      <c r="O68" s="46" t="s">
        <v>89</v>
      </c>
      <c r="P68" s="46" t="s">
        <v>89</v>
      </c>
      <c r="Q68" s="46" t="s">
        <v>89</v>
      </c>
      <c r="R68" s="46" t="s">
        <v>89</v>
      </c>
      <c r="S68" s="46" t="s">
        <v>89</v>
      </c>
      <c r="T68" s="46" t="s">
        <v>89</v>
      </c>
      <c r="U68" s="46">
        <v>122</v>
      </c>
      <c r="V68" s="46">
        <f t="shared" si="38"/>
        <v>98</v>
      </c>
      <c r="W68" s="46">
        <v>93</v>
      </c>
      <c r="X68" s="46">
        <f t="shared" si="39"/>
        <v>90</v>
      </c>
      <c r="Y68" s="46">
        <v>3</v>
      </c>
      <c r="Z68" s="46">
        <f t="shared" si="40"/>
        <v>5</v>
      </c>
      <c r="AA68" s="46">
        <v>0</v>
      </c>
      <c r="AB68" s="46">
        <v>1</v>
      </c>
      <c r="AC68" s="46">
        <v>3</v>
      </c>
      <c r="AD68" s="46">
        <v>1</v>
      </c>
      <c r="AE68" s="46">
        <v>0</v>
      </c>
      <c r="AF68" s="46">
        <v>0</v>
      </c>
      <c r="AG68" s="46">
        <v>0</v>
      </c>
      <c r="AH68" s="46">
        <f t="shared" si="41"/>
        <v>24</v>
      </c>
      <c r="AI68" s="46">
        <v>22</v>
      </c>
      <c r="AJ68" s="46">
        <v>1</v>
      </c>
      <c r="AK68" s="46">
        <v>0</v>
      </c>
      <c r="AL68" s="46">
        <v>1</v>
      </c>
      <c r="AM68" s="49">
        <v>1</v>
      </c>
      <c r="AN68" s="47">
        <v>44427</v>
      </c>
      <c r="AO68" s="47">
        <v>44423</v>
      </c>
      <c r="AP68" s="46"/>
      <c r="AQ68" s="50">
        <f t="shared" si="4"/>
        <v>52</v>
      </c>
      <c r="AR68" s="47">
        <v>44425</v>
      </c>
      <c r="AS68" s="46"/>
      <c r="AT68" s="46" t="s">
        <v>108</v>
      </c>
      <c r="AU68" s="47">
        <v>44426</v>
      </c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52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</row>
    <row r="69" spans="1:81" ht="15" customHeight="1" x14ac:dyDescent="0.25">
      <c r="A69" s="46" t="s">
        <v>151</v>
      </c>
      <c r="B69" s="46" t="s">
        <v>93</v>
      </c>
      <c r="C69" s="46" t="s">
        <v>89</v>
      </c>
      <c r="D69" s="46">
        <v>72</v>
      </c>
      <c r="E69" s="46">
        <v>73</v>
      </c>
      <c r="F69" s="47">
        <v>44375</v>
      </c>
      <c r="G69" s="48" t="s">
        <v>89</v>
      </c>
      <c r="H69" s="48" t="s">
        <v>89</v>
      </c>
      <c r="I69" s="48" t="s">
        <v>89</v>
      </c>
      <c r="J69" s="48" t="s">
        <v>89</v>
      </c>
      <c r="K69" s="48" t="s">
        <v>89</v>
      </c>
      <c r="L69" s="48" t="s">
        <v>89</v>
      </c>
      <c r="M69" s="48" t="s">
        <v>89</v>
      </c>
      <c r="N69" s="48" t="s">
        <v>89</v>
      </c>
      <c r="O69" s="48" t="s">
        <v>89</v>
      </c>
      <c r="P69" s="48" t="s">
        <v>89</v>
      </c>
      <c r="Q69" s="48" t="s">
        <v>89</v>
      </c>
      <c r="R69" s="48" t="s">
        <v>89</v>
      </c>
      <c r="S69" s="48" t="s">
        <v>89</v>
      </c>
      <c r="T69" s="48" t="s">
        <v>89</v>
      </c>
      <c r="U69" s="48" t="s">
        <v>89</v>
      </c>
      <c r="V69" s="48" t="s">
        <v>89</v>
      </c>
      <c r="W69" s="48" t="s">
        <v>89</v>
      </c>
      <c r="X69" s="48" t="s">
        <v>89</v>
      </c>
      <c r="Y69" s="48" t="s">
        <v>89</v>
      </c>
      <c r="Z69" s="48" t="s">
        <v>89</v>
      </c>
      <c r="AA69" s="48" t="s">
        <v>89</v>
      </c>
      <c r="AB69" s="48" t="s">
        <v>89</v>
      </c>
      <c r="AC69" s="48" t="s">
        <v>89</v>
      </c>
      <c r="AD69" s="48" t="s">
        <v>89</v>
      </c>
      <c r="AE69" s="48" t="s">
        <v>89</v>
      </c>
      <c r="AF69" s="48" t="s">
        <v>89</v>
      </c>
      <c r="AG69" s="48" t="s">
        <v>89</v>
      </c>
      <c r="AH69" s="48" t="s">
        <v>89</v>
      </c>
      <c r="AI69" s="48" t="s">
        <v>89</v>
      </c>
      <c r="AJ69" s="48" t="s">
        <v>89</v>
      </c>
      <c r="AK69" s="48" t="s">
        <v>89</v>
      </c>
      <c r="AL69" s="48" t="s">
        <v>89</v>
      </c>
      <c r="AM69" s="49">
        <v>1</v>
      </c>
      <c r="AN69" s="48" t="s">
        <v>89</v>
      </c>
      <c r="AO69" s="46" t="s">
        <v>89</v>
      </c>
      <c r="AP69" s="46"/>
      <c r="AQ69" s="50" t="str">
        <f t="shared" si="4"/>
        <v>N.A.</v>
      </c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52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</row>
    <row r="70" spans="1:81" ht="15" customHeight="1" x14ac:dyDescent="0.25">
      <c r="A70" s="46" t="s">
        <v>152</v>
      </c>
      <c r="B70" s="46" t="s">
        <v>88</v>
      </c>
      <c r="C70" s="46" t="s">
        <v>89</v>
      </c>
      <c r="D70" s="46">
        <v>67</v>
      </c>
      <c r="E70" s="46">
        <v>68</v>
      </c>
      <c r="F70" s="47">
        <v>44375</v>
      </c>
      <c r="G70" s="48" t="s">
        <v>89</v>
      </c>
      <c r="H70" s="48" t="s">
        <v>89</v>
      </c>
      <c r="I70" s="48" t="s">
        <v>89</v>
      </c>
      <c r="J70" s="48" t="s">
        <v>89</v>
      </c>
      <c r="K70" s="48" t="s">
        <v>89</v>
      </c>
      <c r="L70" s="48" t="s">
        <v>89</v>
      </c>
      <c r="M70" s="48" t="s">
        <v>89</v>
      </c>
      <c r="N70" s="48" t="s">
        <v>89</v>
      </c>
      <c r="O70" s="48" t="s">
        <v>89</v>
      </c>
      <c r="P70" s="48" t="s">
        <v>89</v>
      </c>
      <c r="Q70" s="48" t="s">
        <v>89</v>
      </c>
      <c r="R70" s="48" t="s">
        <v>89</v>
      </c>
      <c r="S70" s="48" t="s">
        <v>89</v>
      </c>
      <c r="T70" s="48" t="s">
        <v>89</v>
      </c>
      <c r="U70" s="48" t="s">
        <v>89</v>
      </c>
      <c r="V70" s="48" t="s">
        <v>89</v>
      </c>
      <c r="W70" s="48" t="s">
        <v>89</v>
      </c>
      <c r="X70" s="48" t="s">
        <v>89</v>
      </c>
      <c r="Y70" s="48" t="s">
        <v>89</v>
      </c>
      <c r="Z70" s="48" t="s">
        <v>89</v>
      </c>
      <c r="AA70" s="48" t="s">
        <v>89</v>
      </c>
      <c r="AB70" s="48" t="s">
        <v>89</v>
      </c>
      <c r="AC70" s="48" t="s">
        <v>89</v>
      </c>
      <c r="AD70" s="48" t="s">
        <v>89</v>
      </c>
      <c r="AE70" s="48" t="s">
        <v>89</v>
      </c>
      <c r="AF70" s="48" t="s">
        <v>89</v>
      </c>
      <c r="AG70" s="48" t="s">
        <v>89</v>
      </c>
      <c r="AH70" s="48" t="s">
        <v>89</v>
      </c>
      <c r="AI70" s="48" t="s">
        <v>89</v>
      </c>
      <c r="AJ70" s="48" t="s">
        <v>89</v>
      </c>
      <c r="AK70" s="48" t="s">
        <v>89</v>
      </c>
      <c r="AL70" s="48" t="s">
        <v>89</v>
      </c>
      <c r="AM70" s="49">
        <v>1</v>
      </c>
      <c r="AN70" s="48" t="s">
        <v>89</v>
      </c>
      <c r="AO70" s="46" t="s">
        <v>89</v>
      </c>
      <c r="AP70" s="46"/>
      <c r="AQ70" s="50" t="str">
        <f t="shared" si="4"/>
        <v>N.A.</v>
      </c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52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</row>
    <row r="71" spans="1:81" ht="15" customHeight="1" x14ac:dyDescent="0.25">
      <c r="A71" s="46" t="s">
        <v>153</v>
      </c>
      <c r="B71" s="46" t="s">
        <v>93</v>
      </c>
      <c r="C71" s="46" t="s">
        <v>89</v>
      </c>
      <c r="D71" s="46">
        <v>16</v>
      </c>
      <c r="E71" s="46">
        <v>17</v>
      </c>
      <c r="F71" s="47">
        <v>44376</v>
      </c>
      <c r="G71" s="48" t="s">
        <v>89</v>
      </c>
      <c r="H71" s="48" t="s">
        <v>89</v>
      </c>
      <c r="I71" s="46" t="s">
        <v>89</v>
      </c>
      <c r="J71" s="46" t="s">
        <v>89</v>
      </c>
      <c r="K71" s="46" t="s">
        <v>89</v>
      </c>
      <c r="L71" s="46" t="s">
        <v>89</v>
      </c>
      <c r="M71" s="46" t="s">
        <v>89</v>
      </c>
      <c r="N71" s="46" t="s">
        <v>89</v>
      </c>
      <c r="O71" s="46" t="s">
        <v>89</v>
      </c>
      <c r="P71" s="46" t="s">
        <v>89</v>
      </c>
      <c r="Q71" s="46" t="s">
        <v>89</v>
      </c>
      <c r="R71" s="46" t="s">
        <v>89</v>
      </c>
      <c r="S71" s="46" t="s">
        <v>89</v>
      </c>
      <c r="T71" s="46" t="s">
        <v>89</v>
      </c>
      <c r="U71" s="46" t="s">
        <v>89</v>
      </c>
      <c r="V71" s="46" t="s">
        <v>89</v>
      </c>
      <c r="W71" s="46" t="s">
        <v>89</v>
      </c>
      <c r="X71" s="46" t="s">
        <v>89</v>
      </c>
      <c r="Y71" s="46" t="s">
        <v>89</v>
      </c>
      <c r="Z71" s="46" t="s">
        <v>89</v>
      </c>
      <c r="AA71" s="46" t="s">
        <v>89</v>
      </c>
      <c r="AB71" s="46" t="s">
        <v>89</v>
      </c>
      <c r="AC71" s="46" t="s">
        <v>89</v>
      </c>
      <c r="AD71" s="46" t="s">
        <v>89</v>
      </c>
      <c r="AE71" s="46" t="s">
        <v>89</v>
      </c>
      <c r="AF71" s="46" t="s">
        <v>89</v>
      </c>
      <c r="AG71" s="46" t="s">
        <v>89</v>
      </c>
      <c r="AH71" s="46" t="s">
        <v>89</v>
      </c>
      <c r="AI71" s="46" t="s">
        <v>89</v>
      </c>
      <c r="AJ71" s="46" t="s">
        <v>89</v>
      </c>
      <c r="AK71" s="46" t="s">
        <v>89</v>
      </c>
      <c r="AL71" s="46" t="s">
        <v>89</v>
      </c>
      <c r="AM71" s="49">
        <v>1</v>
      </c>
      <c r="AN71" s="46" t="s">
        <v>89</v>
      </c>
      <c r="AO71" s="46" t="s">
        <v>89</v>
      </c>
      <c r="AP71" s="46"/>
      <c r="AQ71" s="50" t="str">
        <f t="shared" si="4"/>
        <v>N.A.</v>
      </c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52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</row>
    <row r="72" spans="1:81" ht="15" customHeight="1" x14ac:dyDescent="0.25">
      <c r="A72" s="46" t="s">
        <v>154</v>
      </c>
      <c r="B72" s="46" t="s">
        <v>93</v>
      </c>
      <c r="C72" s="46" t="s">
        <v>89</v>
      </c>
      <c r="D72" s="46">
        <v>34</v>
      </c>
      <c r="E72" s="46">
        <v>35</v>
      </c>
      <c r="F72" s="47">
        <v>44376</v>
      </c>
      <c r="G72" s="48" t="s">
        <v>89</v>
      </c>
      <c r="H72" s="48" t="s">
        <v>89</v>
      </c>
      <c r="I72" s="46" t="s">
        <v>89</v>
      </c>
      <c r="J72" s="46" t="s">
        <v>89</v>
      </c>
      <c r="K72" s="46" t="s">
        <v>89</v>
      </c>
      <c r="L72" s="46" t="s">
        <v>89</v>
      </c>
      <c r="M72" s="46" t="s">
        <v>89</v>
      </c>
      <c r="N72" s="46" t="s">
        <v>89</v>
      </c>
      <c r="O72" s="46" t="s">
        <v>89</v>
      </c>
      <c r="P72" s="46" t="s">
        <v>89</v>
      </c>
      <c r="Q72" s="46" t="s">
        <v>89</v>
      </c>
      <c r="R72" s="46" t="s">
        <v>89</v>
      </c>
      <c r="S72" s="46" t="s">
        <v>89</v>
      </c>
      <c r="T72" s="46" t="s">
        <v>89</v>
      </c>
      <c r="U72" s="46">
        <v>76</v>
      </c>
      <c r="V72" s="46">
        <f t="shared" ref="V72:V73" si="42">W72+Z72</f>
        <v>66</v>
      </c>
      <c r="W72" s="46">
        <v>66</v>
      </c>
      <c r="X72" s="46">
        <v>1</v>
      </c>
      <c r="Y72" s="46">
        <v>65</v>
      </c>
      <c r="Z72" s="46">
        <f t="shared" ref="Z72:Z73" si="43">SUM(AA72:AG72)</f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f t="shared" ref="AH72:AH73" si="44">SUM(AI72:AL72)</f>
        <v>10</v>
      </c>
      <c r="AI72" s="46">
        <v>7</v>
      </c>
      <c r="AJ72" s="46">
        <v>0</v>
      </c>
      <c r="AK72" s="46">
        <v>3</v>
      </c>
      <c r="AL72" s="46">
        <v>0</v>
      </c>
      <c r="AM72" s="49">
        <v>1</v>
      </c>
      <c r="AN72" s="46" t="s">
        <v>89</v>
      </c>
      <c r="AO72" s="47">
        <v>44435</v>
      </c>
      <c r="AP72" s="46"/>
      <c r="AQ72" s="50" t="str">
        <f t="shared" si="4"/>
        <v>N.A.</v>
      </c>
      <c r="AR72" s="47">
        <v>44436</v>
      </c>
      <c r="AS72" s="46"/>
      <c r="AT72" s="58" t="s">
        <v>155</v>
      </c>
      <c r="AU72" s="47">
        <v>44438</v>
      </c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52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</row>
    <row r="73" spans="1:81" ht="15" customHeight="1" x14ac:dyDescent="0.25">
      <c r="A73" s="46" t="s">
        <v>156</v>
      </c>
      <c r="B73" s="46" t="s">
        <v>93</v>
      </c>
      <c r="C73" s="46" t="s">
        <v>89</v>
      </c>
      <c r="D73" s="46">
        <v>39</v>
      </c>
      <c r="E73" s="46">
        <v>40</v>
      </c>
      <c r="F73" s="47">
        <v>44376</v>
      </c>
      <c r="G73" s="48" t="s">
        <v>89</v>
      </c>
      <c r="H73" s="48" t="s">
        <v>89</v>
      </c>
      <c r="I73" s="46" t="s">
        <v>89</v>
      </c>
      <c r="J73" s="46" t="s">
        <v>89</v>
      </c>
      <c r="K73" s="46" t="s">
        <v>89</v>
      </c>
      <c r="L73" s="46" t="s">
        <v>89</v>
      </c>
      <c r="M73" s="46" t="s">
        <v>89</v>
      </c>
      <c r="N73" s="46" t="s">
        <v>89</v>
      </c>
      <c r="O73" s="46" t="s">
        <v>89</v>
      </c>
      <c r="P73" s="46" t="s">
        <v>89</v>
      </c>
      <c r="Q73" s="46" t="s">
        <v>89</v>
      </c>
      <c r="R73" s="46" t="s">
        <v>89</v>
      </c>
      <c r="S73" s="46" t="s">
        <v>89</v>
      </c>
      <c r="T73" s="46" t="s">
        <v>89</v>
      </c>
      <c r="U73" s="46">
        <v>105</v>
      </c>
      <c r="V73" s="46">
        <f t="shared" si="42"/>
        <v>97</v>
      </c>
      <c r="W73" s="46">
        <v>94</v>
      </c>
      <c r="X73" s="46">
        <f>W73-Y73</f>
        <v>91</v>
      </c>
      <c r="Y73" s="46">
        <v>3</v>
      </c>
      <c r="Z73" s="46">
        <f t="shared" si="43"/>
        <v>3</v>
      </c>
      <c r="AA73" s="46">
        <v>2</v>
      </c>
      <c r="AB73" s="46">
        <v>0</v>
      </c>
      <c r="AC73" s="46">
        <v>0</v>
      </c>
      <c r="AD73" s="46">
        <v>1</v>
      </c>
      <c r="AE73" s="46">
        <v>0</v>
      </c>
      <c r="AF73" s="46">
        <v>0</v>
      </c>
      <c r="AG73" s="46">
        <v>0</v>
      </c>
      <c r="AH73" s="46">
        <f t="shared" si="44"/>
        <v>8</v>
      </c>
      <c r="AI73" s="46">
        <v>8</v>
      </c>
      <c r="AJ73" s="46">
        <v>0</v>
      </c>
      <c r="AK73" s="46">
        <v>0</v>
      </c>
      <c r="AL73" s="46">
        <v>0</v>
      </c>
      <c r="AM73" s="49">
        <v>1</v>
      </c>
      <c r="AN73" s="47">
        <v>44426</v>
      </c>
      <c r="AO73" s="47">
        <v>44423</v>
      </c>
      <c r="AP73" s="46"/>
      <c r="AQ73" s="50">
        <f t="shared" si="4"/>
        <v>50</v>
      </c>
      <c r="AR73" s="47">
        <v>44425</v>
      </c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52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</row>
    <row r="74" spans="1:81" ht="15" customHeight="1" x14ac:dyDescent="0.25">
      <c r="A74" s="46" t="s">
        <v>157</v>
      </c>
      <c r="B74" s="46" t="s">
        <v>88</v>
      </c>
      <c r="C74" s="46" t="s">
        <v>89</v>
      </c>
      <c r="D74" s="46">
        <v>45</v>
      </c>
      <c r="E74" s="46">
        <v>46</v>
      </c>
      <c r="F74" s="47">
        <v>44376</v>
      </c>
      <c r="G74" s="48" t="s">
        <v>89</v>
      </c>
      <c r="H74" s="48" t="s">
        <v>89</v>
      </c>
      <c r="I74" s="46" t="s">
        <v>89</v>
      </c>
      <c r="J74" s="46" t="s">
        <v>89</v>
      </c>
      <c r="K74" s="46" t="s">
        <v>89</v>
      </c>
      <c r="L74" s="46" t="s">
        <v>89</v>
      </c>
      <c r="M74" s="46" t="s">
        <v>89</v>
      </c>
      <c r="N74" s="46" t="s">
        <v>89</v>
      </c>
      <c r="O74" s="46" t="s">
        <v>89</v>
      </c>
      <c r="P74" s="46" t="s">
        <v>89</v>
      </c>
      <c r="Q74" s="46" t="s">
        <v>89</v>
      </c>
      <c r="R74" s="46" t="s">
        <v>89</v>
      </c>
      <c r="S74" s="46" t="s">
        <v>89</v>
      </c>
      <c r="T74" s="46" t="s">
        <v>89</v>
      </c>
      <c r="U74" s="46">
        <v>81</v>
      </c>
      <c r="V74" s="46">
        <v>70</v>
      </c>
      <c r="W74" s="46">
        <v>70</v>
      </c>
      <c r="X74" s="46">
        <v>70</v>
      </c>
      <c r="Y74" s="46" t="s">
        <v>89</v>
      </c>
      <c r="Z74" s="46" t="s">
        <v>89</v>
      </c>
      <c r="AA74" s="46" t="s">
        <v>89</v>
      </c>
      <c r="AB74" s="46" t="s">
        <v>89</v>
      </c>
      <c r="AC74" s="46" t="s">
        <v>89</v>
      </c>
      <c r="AD74" s="46" t="s">
        <v>89</v>
      </c>
      <c r="AE74" s="46" t="s">
        <v>89</v>
      </c>
      <c r="AF74" s="46" t="s">
        <v>89</v>
      </c>
      <c r="AG74" s="46" t="s">
        <v>89</v>
      </c>
      <c r="AH74" s="46" t="s">
        <v>89</v>
      </c>
      <c r="AI74" s="46" t="s">
        <v>89</v>
      </c>
      <c r="AJ74" s="46" t="s">
        <v>89</v>
      </c>
      <c r="AK74" s="46" t="s">
        <v>89</v>
      </c>
      <c r="AL74" s="46" t="s">
        <v>89</v>
      </c>
      <c r="AM74" s="49">
        <v>1</v>
      </c>
      <c r="AN74" s="47">
        <v>44431</v>
      </c>
      <c r="AO74" s="47">
        <v>44425</v>
      </c>
      <c r="AP74" s="46"/>
      <c r="AQ74" s="50">
        <f t="shared" si="4"/>
        <v>55</v>
      </c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52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</row>
    <row r="75" spans="1:81" ht="15" customHeight="1" x14ac:dyDescent="0.25">
      <c r="A75" s="46" t="s">
        <v>158</v>
      </c>
      <c r="B75" s="46" t="s">
        <v>93</v>
      </c>
      <c r="C75" s="46" t="s">
        <v>89</v>
      </c>
      <c r="D75" s="46">
        <v>8</v>
      </c>
      <c r="E75" s="46">
        <v>10</v>
      </c>
      <c r="F75" s="47">
        <v>44376</v>
      </c>
      <c r="G75" s="48" t="s">
        <v>89</v>
      </c>
      <c r="H75" s="48" t="s">
        <v>89</v>
      </c>
      <c r="I75" s="48" t="s">
        <v>89</v>
      </c>
      <c r="J75" s="48" t="s">
        <v>89</v>
      </c>
      <c r="K75" s="48" t="s">
        <v>89</v>
      </c>
      <c r="L75" s="48" t="s">
        <v>89</v>
      </c>
      <c r="M75" s="48" t="s">
        <v>89</v>
      </c>
      <c r="N75" s="48" t="s">
        <v>89</v>
      </c>
      <c r="O75" s="48" t="s">
        <v>89</v>
      </c>
      <c r="P75" s="48" t="s">
        <v>89</v>
      </c>
      <c r="Q75" s="48" t="s">
        <v>89</v>
      </c>
      <c r="R75" s="48" t="s">
        <v>89</v>
      </c>
      <c r="S75" s="48" t="s">
        <v>89</v>
      </c>
      <c r="T75" s="48" t="s">
        <v>89</v>
      </c>
      <c r="U75" s="46">
        <v>75</v>
      </c>
      <c r="V75" s="46">
        <f t="shared" ref="V75:V83" si="45">W75+Z75</f>
        <v>71</v>
      </c>
      <c r="W75" s="46">
        <v>53</v>
      </c>
      <c r="X75" s="46">
        <f t="shared" ref="X75:X83" si="46">W75-Y75</f>
        <v>23</v>
      </c>
      <c r="Y75" s="46">
        <v>30</v>
      </c>
      <c r="Z75" s="46">
        <f t="shared" ref="Z75:Z83" si="47">SUM(AA75:AG75)</f>
        <v>18</v>
      </c>
      <c r="AA75" s="46">
        <v>0</v>
      </c>
      <c r="AB75" s="46">
        <v>13</v>
      </c>
      <c r="AC75" s="46">
        <v>0</v>
      </c>
      <c r="AD75" s="46">
        <v>5</v>
      </c>
      <c r="AE75" s="46">
        <v>0</v>
      </c>
      <c r="AF75" s="46">
        <v>0</v>
      </c>
      <c r="AG75" s="46">
        <v>0</v>
      </c>
      <c r="AH75" s="46">
        <f t="shared" ref="AH75:AH83" si="48">SUM(AI75:AL75)</f>
        <v>4</v>
      </c>
      <c r="AI75" s="46">
        <v>4</v>
      </c>
      <c r="AJ75" s="46">
        <v>0</v>
      </c>
      <c r="AK75" s="46">
        <v>0</v>
      </c>
      <c r="AL75" s="46">
        <v>0</v>
      </c>
      <c r="AM75" s="49">
        <v>1</v>
      </c>
      <c r="AN75" s="47">
        <v>44439</v>
      </c>
      <c r="AO75" s="46" t="s">
        <v>89</v>
      </c>
      <c r="AP75" s="46"/>
      <c r="AQ75" s="50">
        <f t="shared" si="4"/>
        <v>63</v>
      </c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52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</row>
    <row r="76" spans="1:81" ht="15" customHeight="1" x14ac:dyDescent="0.25">
      <c r="A76" s="46" t="s">
        <v>159</v>
      </c>
      <c r="B76" s="46" t="s">
        <v>88</v>
      </c>
      <c r="C76" s="46" t="s">
        <v>89</v>
      </c>
      <c r="D76" s="46">
        <v>38</v>
      </c>
      <c r="E76" s="46">
        <v>39</v>
      </c>
      <c r="F76" s="47">
        <v>44376</v>
      </c>
      <c r="G76" s="48" t="s">
        <v>89</v>
      </c>
      <c r="H76" s="48" t="s">
        <v>89</v>
      </c>
      <c r="I76" s="46" t="s">
        <v>89</v>
      </c>
      <c r="J76" s="46" t="s">
        <v>89</v>
      </c>
      <c r="K76" s="46" t="s">
        <v>89</v>
      </c>
      <c r="L76" s="46" t="s">
        <v>89</v>
      </c>
      <c r="M76" s="46" t="s">
        <v>89</v>
      </c>
      <c r="N76" s="46" t="s">
        <v>89</v>
      </c>
      <c r="O76" s="46" t="s">
        <v>89</v>
      </c>
      <c r="P76" s="46" t="s">
        <v>89</v>
      </c>
      <c r="Q76" s="46" t="s">
        <v>89</v>
      </c>
      <c r="R76" s="46" t="s">
        <v>89</v>
      </c>
      <c r="S76" s="46" t="s">
        <v>89</v>
      </c>
      <c r="T76" s="46" t="s">
        <v>89</v>
      </c>
      <c r="U76" s="46">
        <v>105</v>
      </c>
      <c r="V76" s="46">
        <f t="shared" si="45"/>
        <v>94</v>
      </c>
      <c r="W76" s="46">
        <v>94</v>
      </c>
      <c r="X76" s="46">
        <f t="shared" si="46"/>
        <v>94</v>
      </c>
      <c r="Y76" s="46">
        <v>0</v>
      </c>
      <c r="Z76" s="46">
        <f t="shared" si="47"/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f t="shared" si="48"/>
        <v>0</v>
      </c>
      <c r="AI76" s="46">
        <v>0</v>
      </c>
      <c r="AJ76" s="46">
        <v>0</v>
      </c>
      <c r="AK76" s="46">
        <v>0</v>
      </c>
      <c r="AL76" s="46">
        <v>0</v>
      </c>
      <c r="AM76" s="49">
        <v>1</v>
      </c>
      <c r="AN76" s="46" t="s">
        <v>89</v>
      </c>
      <c r="AO76" s="46" t="s">
        <v>89</v>
      </c>
      <c r="AP76" s="46"/>
      <c r="AQ76" s="50" t="str">
        <f t="shared" si="4"/>
        <v>N.A.</v>
      </c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52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</row>
    <row r="77" spans="1:81" ht="15" customHeight="1" x14ac:dyDescent="0.25">
      <c r="A77" s="46" t="s">
        <v>160</v>
      </c>
      <c r="B77" s="46" t="s">
        <v>93</v>
      </c>
      <c r="C77" s="46" t="s">
        <v>89</v>
      </c>
      <c r="D77" s="46">
        <v>16</v>
      </c>
      <c r="E77" s="46">
        <v>17</v>
      </c>
      <c r="F77" s="47">
        <v>44377</v>
      </c>
      <c r="G77" s="48" t="s">
        <v>89</v>
      </c>
      <c r="H77" s="48" t="s">
        <v>89</v>
      </c>
      <c r="I77" s="46" t="s">
        <v>89</v>
      </c>
      <c r="J77" s="46" t="s">
        <v>89</v>
      </c>
      <c r="K77" s="46" t="s">
        <v>89</v>
      </c>
      <c r="L77" s="46" t="s">
        <v>89</v>
      </c>
      <c r="M77" s="46" t="s">
        <v>89</v>
      </c>
      <c r="N77" s="46" t="s">
        <v>89</v>
      </c>
      <c r="O77" s="46" t="s">
        <v>89</v>
      </c>
      <c r="P77" s="46" t="s">
        <v>89</v>
      </c>
      <c r="Q77" s="46" t="s">
        <v>89</v>
      </c>
      <c r="R77" s="46" t="s">
        <v>89</v>
      </c>
      <c r="S77" s="46" t="s">
        <v>89</v>
      </c>
      <c r="T77" s="46" t="s">
        <v>89</v>
      </c>
      <c r="U77" s="46">
        <v>83</v>
      </c>
      <c r="V77" s="46">
        <f t="shared" si="45"/>
        <v>82</v>
      </c>
      <c r="W77" s="46">
        <v>79</v>
      </c>
      <c r="X77" s="46">
        <f t="shared" si="46"/>
        <v>79</v>
      </c>
      <c r="Y77" s="46">
        <v>0</v>
      </c>
      <c r="Z77" s="46">
        <f t="shared" si="47"/>
        <v>3</v>
      </c>
      <c r="AA77" s="46">
        <v>0</v>
      </c>
      <c r="AB77" s="46">
        <v>2</v>
      </c>
      <c r="AC77" s="46">
        <v>0</v>
      </c>
      <c r="AD77" s="46">
        <v>0</v>
      </c>
      <c r="AE77" s="46">
        <v>0</v>
      </c>
      <c r="AF77" s="46">
        <v>1</v>
      </c>
      <c r="AG77" s="46">
        <v>0</v>
      </c>
      <c r="AH77" s="46">
        <f t="shared" si="48"/>
        <v>1</v>
      </c>
      <c r="AI77" s="46">
        <v>0</v>
      </c>
      <c r="AJ77" s="46">
        <v>1</v>
      </c>
      <c r="AK77" s="46">
        <v>0</v>
      </c>
      <c r="AL77" s="46">
        <v>0</v>
      </c>
      <c r="AM77" s="49">
        <v>1</v>
      </c>
      <c r="AN77" s="47">
        <v>44458</v>
      </c>
      <c r="AO77" s="46" t="s">
        <v>89</v>
      </c>
      <c r="AP77" s="46"/>
      <c r="AQ77" s="50">
        <f t="shared" si="4"/>
        <v>81</v>
      </c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52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</row>
    <row r="78" spans="1:81" ht="15" customHeight="1" x14ac:dyDescent="0.25">
      <c r="A78" s="46" t="s">
        <v>161</v>
      </c>
      <c r="B78" s="46" t="s">
        <v>93</v>
      </c>
      <c r="C78" s="46" t="s">
        <v>89</v>
      </c>
      <c r="D78" s="46">
        <v>32</v>
      </c>
      <c r="E78" s="46">
        <v>33</v>
      </c>
      <c r="F78" s="47">
        <v>44377</v>
      </c>
      <c r="G78" s="48" t="s">
        <v>89</v>
      </c>
      <c r="H78" s="48" t="s">
        <v>89</v>
      </c>
      <c r="I78" s="46" t="s">
        <v>89</v>
      </c>
      <c r="J78" s="46" t="s">
        <v>89</v>
      </c>
      <c r="K78" s="46" t="s">
        <v>89</v>
      </c>
      <c r="L78" s="46" t="s">
        <v>89</v>
      </c>
      <c r="M78" s="46" t="s">
        <v>89</v>
      </c>
      <c r="N78" s="46" t="s">
        <v>89</v>
      </c>
      <c r="O78" s="46" t="s">
        <v>89</v>
      </c>
      <c r="P78" s="46" t="s">
        <v>89</v>
      </c>
      <c r="Q78" s="46" t="s">
        <v>89</v>
      </c>
      <c r="R78" s="46" t="s">
        <v>89</v>
      </c>
      <c r="S78" s="46" t="s">
        <v>89</v>
      </c>
      <c r="T78" s="46" t="s">
        <v>89</v>
      </c>
      <c r="U78" s="46">
        <v>97</v>
      </c>
      <c r="V78" s="46">
        <f t="shared" si="45"/>
        <v>94</v>
      </c>
      <c r="W78" s="46">
        <v>94</v>
      </c>
      <c r="X78" s="46">
        <f t="shared" si="46"/>
        <v>94</v>
      </c>
      <c r="Y78" s="46">
        <v>0</v>
      </c>
      <c r="Z78" s="46">
        <f t="shared" si="47"/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f t="shared" si="48"/>
        <v>3</v>
      </c>
      <c r="AI78" s="46">
        <v>3</v>
      </c>
      <c r="AJ78" s="46">
        <v>0</v>
      </c>
      <c r="AK78" s="46">
        <v>0</v>
      </c>
      <c r="AL78" s="46">
        <v>0</v>
      </c>
      <c r="AM78" s="49">
        <v>1</v>
      </c>
      <c r="AN78" s="47">
        <v>44446</v>
      </c>
      <c r="AO78" s="47">
        <v>44424</v>
      </c>
      <c r="AP78" s="46"/>
      <c r="AQ78" s="50">
        <f t="shared" si="4"/>
        <v>69</v>
      </c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52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</row>
    <row r="79" spans="1:81" ht="15" customHeight="1" x14ac:dyDescent="0.25">
      <c r="A79" s="59" t="s">
        <v>162</v>
      </c>
      <c r="B79" s="59" t="s">
        <v>93</v>
      </c>
      <c r="C79" s="59" t="s">
        <v>89</v>
      </c>
      <c r="D79" s="59">
        <v>117</v>
      </c>
      <c r="E79" s="59">
        <v>118</v>
      </c>
      <c r="F79" s="60">
        <v>44377</v>
      </c>
      <c r="G79" s="61" t="s">
        <v>89</v>
      </c>
      <c r="H79" s="61" t="s">
        <v>89</v>
      </c>
      <c r="I79" s="59" t="s">
        <v>89</v>
      </c>
      <c r="J79" s="59" t="s">
        <v>89</v>
      </c>
      <c r="K79" s="59" t="s">
        <v>89</v>
      </c>
      <c r="L79" s="59" t="s">
        <v>89</v>
      </c>
      <c r="M79" s="59" t="s">
        <v>89</v>
      </c>
      <c r="N79" s="59" t="s">
        <v>89</v>
      </c>
      <c r="O79" s="59" t="s">
        <v>89</v>
      </c>
      <c r="P79" s="59" t="s">
        <v>89</v>
      </c>
      <c r="Q79" s="59" t="s">
        <v>89</v>
      </c>
      <c r="R79" s="59" t="s">
        <v>89</v>
      </c>
      <c r="S79" s="59" t="s">
        <v>89</v>
      </c>
      <c r="T79" s="59" t="s">
        <v>89</v>
      </c>
      <c r="U79" s="59">
        <v>79</v>
      </c>
      <c r="V79" s="59">
        <f t="shared" si="45"/>
        <v>68</v>
      </c>
      <c r="W79" s="59">
        <v>67</v>
      </c>
      <c r="X79" s="59">
        <f t="shared" si="46"/>
        <v>67</v>
      </c>
      <c r="Y79" s="59">
        <v>0</v>
      </c>
      <c r="Z79" s="59">
        <f t="shared" si="47"/>
        <v>1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59">
        <v>1</v>
      </c>
      <c r="AG79" s="59">
        <v>0</v>
      </c>
      <c r="AH79" s="59">
        <f t="shared" si="48"/>
        <v>11</v>
      </c>
      <c r="AI79" s="59">
        <v>10</v>
      </c>
      <c r="AJ79" s="59">
        <v>0</v>
      </c>
      <c r="AK79" s="59">
        <v>1</v>
      </c>
      <c r="AL79" s="59">
        <v>0</v>
      </c>
      <c r="AM79" s="62">
        <v>1</v>
      </c>
      <c r="AN79" s="60">
        <v>44460</v>
      </c>
      <c r="AO79" s="60">
        <v>44424</v>
      </c>
      <c r="AP79" s="59"/>
      <c r="AQ79" s="63">
        <f t="shared" si="4"/>
        <v>83</v>
      </c>
      <c r="AR79" s="60">
        <v>44426</v>
      </c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</row>
    <row r="80" spans="1:81" ht="15" customHeight="1" x14ac:dyDescent="0.25">
      <c r="A80" s="46" t="s">
        <v>163</v>
      </c>
      <c r="B80" s="46" t="s">
        <v>88</v>
      </c>
      <c r="C80" s="46" t="s">
        <v>89</v>
      </c>
      <c r="D80" s="46">
        <v>16</v>
      </c>
      <c r="E80" s="46">
        <v>17</v>
      </c>
      <c r="F80" s="47">
        <v>44378</v>
      </c>
      <c r="G80" s="48" t="s">
        <v>89</v>
      </c>
      <c r="H80" s="48" t="s">
        <v>89</v>
      </c>
      <c r="I80" s="48" t="s">
        <v>89</v>
      </c>
      <c r="J80" s="48" t="s">
        <v>89</v>
      </c>
      <c r="K80" s="48" t="s">
        <v>89</v>
      </c>
      <c r="L80" s="48" t="s">
        <v>89</v>
      </c>
      <c r="M80" s="48" t="s">
        <v>89</v>
      </c>
      <c r="N80" s="48" t="s">
        <v>89</v>
      </c>
      <c r="O80" s="48" t="s">
        <v>89</v>
      </c>
      <c r="P80" s="48" t="s">
        <v>89</v>
      </c>
      <c r="Q80" s="48" t="s">
        <v>89</v>
      </c>
      <c r="R80" s="48" t="s">
        <v>89</v>
      </c>
      <c r="S80" s="48" t="s">
        <v>89</v>
      </c>
      <c r="T80" s="48" t="s">
        <v>89</v>
      </c>
      <c r="U80" s="57">
        <v>108</v>
      </c>
      <c r="V80" s="46">
        <f t="shared" si="45"/>
        <v>104</v>
      </c>
      <c r="W80" s="46">
        <v>100</v>
      </c>
      <c r="X80" s="46">
        <f t="shared" si="46"/>
        <v>100</v>
      </c>
      <c r="Y80" s="46">
        <v>0</v>
      </c>
      <c r="Z80" s="46">
        <f t="shared" si="47"/>
        <v>4</v>
      </c>
      <c r="AA80" s="46">
        <v>0</v>
      </c>
      <c r="AB80" s="46">
        <v>0</v>
      </c>
      <c r="AC80" s="46">
        <v>0</v>
      </c>
      <c r="AD80" s="46">
        <v>2</v>
      </c>
      <c r="AE80" s="46">
        <v>0</v>
      </c>
      <c r="AF80" s="46">
        <v>2</v>
      </c>
      <c r="AG80" s="46">
        <v>0</v>
      </c>
      <c r="AH80" s="46">
        <f t="shared" si="48"/>
        <v>4</v>
      </c>
      <c r="AI80" s="46">
        <v>3</v>
      </c>
      <c r="AJ80" s="46">
        <v>0</v>
      </c>
      <c r="AK80" s="46">
        <v>0</v>
      </c>
      <c r="AL80" s="46">
        <v>1</v>
      </c>
      <c r="AM80" s="49">
        <v>1</v>
      </c>
      <c r="AN80" s="47">
        <v>44452</v>
      </c>
      <c r="AO80" s="47">
        <v>44433</v>
      </c>
      <c r="AP80" s="46"/>
      <c r="AQ80" s="50">
        <f t="shared" si="4"/>
        <v>74</v>
      </c>
      <c r="AR80" s="47">
        <v>44465</v>
      </c>
      <c r="AS80" s="47"/>
      <c r="AT80" s="47"/>
      <c r="AU80" s="47"/>
      <c r="AV80" s="47"/>
      <c r="AW80" s="47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52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</row>
    <row r="81" spans="1:81" ht="15" customHeight="1" x14ac:dyDescent="0.25">
      <c r="A81" s="46" t="s">
        <v>164</v>
      </c>
      <c r="B81" s="46" t="s">
        <v>88</v>
      </c>
      <c r="C81" s="46" t="s">
        <v>89</v>
      </c>
      <c r="D81" s="46">
        <v>27</v>
      </c>
      <c r="E81" s="46">
        <v>28</v>
      </c>
      <c r="F81" s="47">
        <v>44379</v>
      </c>
      <c r="G81" s="48" t="s">
        <v>89</v>
      </c>
      <c r="H81" s="48" t="s">
        <v>89</v>
      </c>
      <c r="I81" s="46" t="s">
        <v>89</v>
      </c>
      <c r="J81" s="46" t="s">
        <v>89</v>
      </c>
      <c r="K81" s="46" t="s">
        <v>89</v>
      </c>
      <c r="L81" s="46" t="s">
        <v>89</v>
      </c>
      <c r="M81" s="46" t="s">
        <v>89</v>
      </c>
      <c r="N81" s="46" t="s">
        <v>89</v>
      </c>
      <c r="O81" s="46" t="s">
        <v>89</v>
      </c>
      <c r="P81" s="46" t="s">
        <v>89</v>
      </c>
      <c r="Q81" s="46" t="s">
        <v>89</v>
      </c>
      <c r="R81" s="46" t="s">
        <v>89</v>
      </c>
      <c r="S81" s="46" t="s">
        <v>89</v>
      </c>
      <c r="T81" s="46" t="s">
        <v>89</v>
      </c>
      <c r="U81" s="46">
        <v>106</v>
      </c>
      <c r="V81" s="46">
        <f t="shared" si="45"/>
        <v>93</v>
      </c>
      <c r="W81" s="46">
        <v>88</v>
      </c>
      <c r="X81" s="46">
        <f t="shared" si="46"/>
        <v>88</v>
      </c>
      <c r="Y81" s="46">
        <v>0</v>
      </c>
      <c r="Z81" s="46">
        <f t="shared" si="47"/>
        <v>5</v>
      </c>
      <c r="AA81" s="46">
        <v>0</v>
      </c>
      <c r="AB81" s="46">
        <v>0</v>
      </c>
      <c r="AC81" s="46">
        <v>0</v>
      </c>
      <c r="AD81" s="46">
        <v>5</v>
      </c>
      <c r="AE81" s="46">
        <v>0</v>
      </c>
      <c r="AF81" s="46">
        <v>0</v>
      </c>
      <c r="AG81" s="46">
        <v>0</v>
      </c>
      <c r="AH81" s="46">
        <f t="shared" si="48"/>
        <v>13</v>
      </c>
      <c r="AI81" s="46">
        <v>8</v>
      </c>
      <c r="AJ81" s="46">
        <v>3</v>
      </c>
      <c r="AK81" s="46">
        <v>0</v>
      </c>
      <c r="AL81" s="46">
        <v>2</v>
      </c>
      <c r="AM81" s="49">
        <v>1</v>
      </c>
      <c r="AN81" s="47">
        <v>44452</v>
      </c>
      <c r="AO81" s="47">
        <v>44435</v>
      </c>
      <c r="AP81" s="46"/>
      <c r="AQ81" s="50">
        <f t="shared" si="4"/>
        <v>73</v>
      </c>
      <c r="AR81" s="47">
        <v>44436</v>
      </c>
      <c r="AS81" s="47"/>
      <c r="AT81" s="46" t="s">
        <v>108</v>
      </c>
      <c r="AU81" s="47">
        <v>44437</v>
      </c>
      <c r="AV81" s="47"/>
      <c r="AW81" s="47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52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</row>
    <row r="82" spans="1:81" ht="15" customHeight="1" x14ac:dyDescent="0.25">
      <c r="A82" s="46" t="s">
        <v>165</v>
      </c>
      <c r="B82" s="46" t="s">
        <v>93</v>
      </c>
      <c r="C82" s="46" t="s">
        <v>89</v>
      </c>
      <c r="D82" s="46">
        <v>7</v>
      </c>
      <c r="E82" s="46">
        <v>8</v>
      </c>
      <c r="F82" s="47">
        <v>44379</v>
      </c>
      <c r="G82" s="48" t="s">
        <v>89</v>
      </c>
      <c r="H82" s="48" t="s">
        <v>89</v>
      </c>
      <c r="I82" s="46" t="s">
        <v>89</v>
      </c>
      <c r="J82" s="46" t="s">
        <v>89</v>
      </c>
      <c r="K82" s="46" t="s">
        <v>89</v>
      </c>
      <c r="L82" s="46" t="s">
        <v>89</v>
      </c>
      <c r="M82" s="46" t="s">
        <v>89</v>
      </c>
      <c r="N82" s="46" t="s">
        <v>89</v>
      </c>
      <c r="O82" s="46" t="s">
        <v>89</v>
      </c>
      <c r="P82" s="46" t="s">
        <v>89</v>
      </c>
      <c r="Q82" s="46" t="s">
        <v>89</v>
      </c>
      <c r="R82" s="46" t="s">
        <v>89</v>
      </c>
      <c r="S82" s="46" t="s">
        <v>89</v>
      </c>
      <c r="T82" s="46" t="s">
        <v>89</v>
      </c>
      <c r="U82" s="46">
        <v>135</v>
      </c>
      <c r="V82" s="46">
        <f t="shared" si="45"/>
        <v>118</v>
      </c>
      <c r="W82" s="46">
        <v>114</v>
      </c>
      <c r="X82" s="46">
        <f t="shared" si="46"/>
        <v>114</v>
      </c>
      <c r="Y82" s="46">
        <v>0</v>
      </c>
      <c r="Z82" s="46">
        <f t="shared" si="47"/>
        <v>4</v>
      </c>
      <c r="AA82" s="46">
        <v>0</v>
      </c>
      <c r="AB82" s="46">
        <v>2</v>
      </c>
      <c r="AC82" s="46">
        <v>0</v>
      </c>
      <c r="AD82" s="46">
        <v>0</v>
      </c>
      <c r="AE82" s="46">
        <v>0</v>
      </c>
      <c r="AF82" s="46">
        <v>0</v>
      </c>
      <c r="AG82" s="46">
        <v>2</v>
      </c>
      <c r="AH82" s="46">
        <f t="shared" si="48"/>
        <v>17</v>
      </c>
      <c r="AI82" s="46">
        <v>10</v>
      </c>
      <c r="AJ82" s="46">
        <v>7</v>
      </c>
      <c r="AK82" s="46">
        <v>0</v>
      </c>
      <c r="AL82" s="46">
        <v>0</v>
      </c>
      <c r="AM82" s="49">
        <v>1</v>
      </c>
      <c r="AN82" s="47">
        <v>44452</v>
      </c>
      <c r="AO82" s="47">
        <v>44434</v>
      </c>
      <c r="AP82" s="46"/>
      <c r="AQ82" s="50">
        <f t="shared" si="4"/>
        <v>73</v>
      </c>
      <c r="AR82" s="47">
        <v>44436</v>
      </c>
      <c r="AS82" s="47"/>
      <c r="AT82" s="46" t="s">
        <v>166</v>
      </c>
      <c r="AU82" s="47">
        <v>44469</v>
      </c>
      <c r="AV82" s="47"/>
      <c r="AW82" s="47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52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</row>
    <row r="83" spans="1:81" ht="14.25" customHeight="1" x14ac:dyDescent="0.25">
      <c r="A83" s="46" t="s">
        <v>167</v>
      </c>
      <c r="B83" s="46" t="s">
        <v>93</v>
      </c>
      <c r="C83" s="46" t="s">
        <v>89</v>
      </c>
      <c r="D83" s="46">
        <v>154</v>
      </c>
      <c r="E83" s="46">
        <v>155</v>
      </c>
      <c r="F83" s="47">
        <v>44379</v>
      </c>
      <c r="G83" s="48" t="s">
        <v>89</v>
      </c>
      <c r="H83" s="48" t="s">
        <v>89</v>
      </c>
      <c r="I83" s="46" t="s">
        <v>89</v>
      </c>
      <c r="J83" s="46" t="s">
        <v>89</v>
      </c>
      <c r="K83" s="46" t="s">
        <v>89</v>
      </c>
      <c r="L83" s="46" t="s">
        <v>89</v>
      </c>
      <c r="M83" s="46" t="s">
        <v>89</v>
      </c>
      <c r="N83" s="46" t="s">
        <v>89</v>
      </c>
      <c r="O83" s="46" t="s">
        <v>89</v>
      </c>
      <c r="P83" s="46" t="s">
        <v>89</v>
      </c>
      <c r="Q83" s="46" t="s">
        <v>89</v>
      </c>
      <c r="R83" s="46" t="s">
        <v>89</v>
      </c>
      <c r="S83" s="46" t="s">
        <v>89</v>
      </c>
      <c r="T83" s="46" t="s">
        <v>89</v>
      </c>
      <c r="U83" s="46">
        <v>86</v>
      </c>
      <c r="V83" s="46">
        <f t="shared" si="45"/>
        <v>83</v>
      </c>
      <c r="W83" s="46">
        <v>83</v>
      </c>
      <c r="X83" s="46">
        <f t="shared" si="46"/>
        <v>33</v>
      </c>
      <c r="Y83" s="46">
        <v>50</v>
      </c>
      <c r="Z83" s="46">
        <f t="shared" si="47"/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f t="shared" si="48"/>
        <v>3</v>
      </c>
      <c r="AI83" s="46">
        <v>3</v>
      </c>
      <c r="AJ83" s="46">
        <v>0</v>
      </c>
      <c r="AK83" s="46">
        <v>0</v>
      </c>
      <c r="AL83" s="46">
        <v>0</v>
      </c>
      <c r="AM83" s="49">
        <v>1</v>
      </c>
      <c r="AN83" s="47">
        <v>44461</v>
      </c>
      <c r="AO83" s="47">
        <v>44433</v>
      </c>
      <c r="AP83" s="46"/>
      <c r="AQ83" s="50">
        <f t="shared" si="4"/>
        <v>82</v>
      </c>
      <c r="AR83" s="47">
        <v>44441</v>
      </c>
      <c r="AS83" s="47"/>
      <c r="AT83" s="47"/>
      <c r="AU83" s="47"/>
      <c r="AV83" s="47"/>
      <c r="AW83" s="47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52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</row>
    <row r="84" spans="1:81" ht="15" customHeight="1" x14ac:dyDescent="0.25">
      <c r="A84" s="46" t="s">
        <v>168</v>
      </c>
      <c r="B84" s="46" t="s">
        <v>93</v>
      </c>
      <c r="C84" s="46" t="s">
        <v>89</v>
      </c>
      <c r="D84" s="46">
        <v>16</v>
      </c>
      <c r="E84" s="46">
        <v>17</v>
      </c>
      <c r="F84" s="47">
        <v>44379</v>
      </c>
      <c r="G84" s="48" t="s">
        <v>89</v>
      </c>
      <c r="H84" s="48" t="s">
        <v>89</v>
      </c>
      <c r="I84" s="46" t="s">
        <v>89</v>
      </c>
      <c r="J84" s="46" t="s">
        <v>89</v>
      </c>
      <c r="K84" s="46" t="s">
        <v>89</v>
      </c>
      <c r="L84" s="46" t="s">
        <v>89</v>
      </c>
      <c r="M84" s="46" t="s">
        <v>89</v>
      </c>
      <c r="N84" s="46" t="s">
        <v>89</v>
      </c>
      <c r="O84" s="46" t="s">
        <v>89</v>
      </c>
      <c r="P84" s="46" t="s">
        <v>89</v>
      </c>
      <c r="Q84" s="46" t="s">
        <v>89</v>
      </c>
      <c r="R84" s="46" t="s">
        <v>89</v>
      </c>
      <c r="S84" s="46" t="s">
        <v>89</v>
      </c>
      <c r="T84" s="46" t="s">
        <v>89</v>
      </c>
      <c r="U84" s="46" t="s">
        <v>89</v>
      </c>
      <c r="V84" s="46" t="s">
        <v>89</v>
      </c>
      <c r="W84" s="46" t="s">
        <v>89</v>
      </c>
      <c r="X84" s="46" t="s">
        <v>89</v>
      </c>
      <c r="Y84" s="46" t="s">
        <v>89</v>
      </c>
      <c r="Z84" s="46" t="s">
        <v>89</v>
      </c>
      <c r="AA84" s="46" t="s">
        <v>89</v>
      </c>
      <c r="AB84" s="46" t="s">
        <v>89</v>
      </c>
      <c r="AC84" s="46" t="s">
        <v>89</v>
      </c>
      <c r="AD84" s="46" t="s">
        <v>89</v>
      </c>
      <c r="AE84" s="46" t="s">
        <v>89</v>
      </c>
      <c r="AF84" s="46" t="s">
        <v>89</v>
      </c>
      <c r="AG84" s="46" t="s">
        <v>89</v>
      </c>
      <c r="AH84" s="46" t="s">
        <v>89</v>
      </c>
      <c r="AI84" s="46" t="s">
        <v>89</v>
      </c>
      <c r="AJ84" s="46" t="s">
        <v>89</v>
      </c>
      <c r="AK84" s="46" t="s">
        <v>89</v>
      </c>
      <c r="AL84" s="46" t="s">
        <v>89</v>
      </c>
      <c r="AM84" s="49">
        <v>1</v>
      </c>
      <c r="AN84" s="46" t="s">
        <v>89</v>
      </c>
      <c r="AO84" s="46" t="s">
        <v>89</v>
      </c>
      <c r="AP84" s="46"/>
      <c r="AQ84" s="50" t="str">
        <f t="shared" si="4"/>
        <v>N.A.</v>
      </c>
      <c r="AR84" s="47"/>
      <c r="AS84" s="47"/>
      <c r="AT84" s="47"/>
      <c r="AU84" s="47"/>
      <c r="AV84" s="47"/>
      <c r="AW84" s="47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52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</row>
    <row r="85" spans="1:81" ht="15" customHeight="1" x14ac:dyDescent="0.25">
      <c r="A85" s="46" t="s">
        <v>169</v>
      </c>
      <c r="B85" s="46" t="s">
        <v>93</v>
      </c>
      <c r="C85" s="46" t="s">
        <v>89</v>
      </c>
      <c r="D85" s="46">
        <v>153</v>
      </c>
      <c r="E85" s="46">
        <v>154</v>
      </c>
      <c r="F85" s="47">
        <v>44379</v>
      </c>
      <c r="G85" s="48" t="s">
        <v>89</v>
      </c>
      <c r="H85" s="48" t="s">
        <v>89</v>
      </c>
      <c r="I85" s="46" t="s">
        <v>89</v>
      </c>
      <c r="J85" s="46" t="s">
        <v>89</v>
      </c>
      <c r="K85" s="46" t="s">
        <v>89</v>
      </c>
      <c r="L85" s="46" t="s">
        <v>89</v>
      </c>
      <c r="M85" s="46" t="s">
        <v>89</v>
      </c>
      <c r="N85" s="46" t="s">
        <v>89</v>
      </c>
      <c r="O85" s="46" t="s">
        <v>89</v>
      </c>
      <c r="P85" s="46" t="s">
        <v>89</v>
      </c>
      <c r="Q85" s="46" t="s">
        <v>89</v>
      </c>
      <c r="R85" s="46" t="s">
        <v>89</v>
      </c>
      <c r="S85" s="46" t="s">
        <v>89</v>
      </c>
      <c r="T85" s="46" t="s">
        <v>89</v>
      </c>
      <c r="U85" s="46">
        <v>137</v>
      </c>
      <c r="V85" s="46">
        <f>W85+Z85</f>
        <v>51</v>
      </c>
      <c r="W85" s="46">
        <v>50</v>
      </c>
      <c r="X85" s="46">
        <v>50</v>
      </c>
      <c r="Y85" s="46">
        <v>0</v>
      </c>
      <c r="Z85" s="46">
        <f>SUM(AA85:AG85)</f>
        <v>1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1</v>
      </c>
      <c r="AG85" s="46">
        <v>0</v>
      </c>
      <c r="AH85" s="46">
        <f>SUM(AI85:AL85)</f>
        <v>86</v>
      </c>
      <c r="AI85" s="46">
        <v>59</v>
      </c>
      <c r="AJ85" s="46">
        <v>27</v>
      </c>
      <c r="AK85" s="46">
        <v>0</v>
      </c>
      <c r="AL85" s="46">
        <v>0</v>
      </c>
      <c r="AM85" s="49">
        <v>1</v>
      </c>
      <c r="AN85" s="46" t="s">
        <v>89</v>
      </c>
      <c r="AO85" s="46" t="s">
        <v>89</v>
      </c>
      <c r="AP85" s="46"/>
      <c r="AQ85" s="50" t="str">
        <f t="shared" si="4"/>
        <v>N.A.</v>
      </c>
      <c r="AR85" s="47"/>
      <c r="AS85" s="47"/>
      <c r="AT85" s="47"/>
      <c r="AU85" s="47"/>
      <c r="AV85" s="47"/>
      <c r="AW85" s="47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52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</row>
    <row r="86" spans="1:81" ht="15" customHeight="1" x14ac:dyDescent="0.25">
      <c r="A86" s="46" t="s">
        <v>170</v>
      </c>
      <c r="B86" s="46" t="s">
        <v>88</v>
      </c>
      <c r="C86" s="46" t="s">
        <v>89</v>
      </c>
      <c r="D86" s="46">
        <v>84</v>
      </c>
      <c r="E86" s="46">
        <v>85</v>
      </c>
      <c r="F86" s="47">
        <v>44379</v>
      </c>
      <c r="G86" s="48" t="s">
        <v>89</v>
      </c>
      <c r="H86" s="48" t="s">
        <v>89</v>
      </c>
      <c r="I86" s="46" t="s">
        <v>89</v>
      </c>
      <c r="J86" s="46" t="s">
        <v>89</v>
      </c>
      <c r="K86" s="46" t="s">
        <v>89</v>
      </c>
      <c r="L86" s="46" t="s">
        <v>89</v>
      </c>
      <c r="M86" s="46" t="s">
        <v>89</v>
      </c>
      <c r="N86" s="46" t="s">
        <v>89</v>
      </c>
      <c r="O86" s="46" t="s">
        <v>89</v>
      </c>
      <c r="P86" s="46" t="s">
        <v>89</v>
      </c>
      <c r="Q86" s="46" t="s">
        <v>89</v>
      </c>
      <c r="R86" s="46" t="s">
        <v>89</v>
      </c>
      <c r="S86" s="46" t="s">
        <v>89</v>
      </c>
      <c r="T86" s="46" t="s">
        <v>89</v>
      </c>
      <c r="U86" s="46" t="s">
        <v>89</v>
      </c>
      <c r="V86" s="46" t="s">
        <v>89</v>
      </c>
      <c r="W86" s="46" t="s">
        <v>89</v>
      </c>
      <c r="X86" s="46" t="s">
        <v>89</v>
      </c>
      <c r="Y86" s="46" t="s">
        <v>89</v>
      </c>
      <c r="Z86" s="46" t="s">
        <v>89</v>
      </c>
      <c r="AA86" s="46" t="s">
        <v>89</v>
      </c>
      <c r="AB86" s="46" t="s">
        <v>89</v>
      </c>
      <c r="AC86" s="46" t="s">
        <v>89</v>
      </c>
      <c r="AD86" s="46" t="s">
        <v>89</v>
      </c>
      <c r="AE86" s="46" t="s">
        <v>89</v>
      </c>
      <c r="AF86" s="46" t="s">
        <v>89</v>
      </c>
      <c r="AG86" s="46" t="s">
        <v>89</v>
      </c>
      <c r="AH86" s="46" t="s">
        <v>89</v>
      </c>
      <c r="AI86" s="46" t="s">
        <v>89</v>
      </c>
      <c r="AJ86" s="46" t="s">
        <v>89</v>
      </c>
      <c r="AK86" s="46" t="s">
        <v>89</v>
      </c>
      <c r="AL86" s="46" t="s">
        <v>89</v>
      </c>
      <c r="AM86" s="46">
        <v>0</v>
      </c>
      <c r="AN86" s="46" t="s">
        <v>89</v>
      </c>
      <c r="AO86" s="46" t="s">
        <v>89</v>
      </c>
      <c r="AP86" s="46"/>
      <c r="AQ86" s="50" t="str">
        <f t="shared" si="4"/>
        <v>N.A.</v>
      </c>
      <c r="AR86" s="47"/>
      <c r="AS86" s="47"/>
      <c r="AT86" s="47"/>
      <c r="AU86" s="47"/>
      <c r="AV86" s="47"/>
      <c r="AW86" s="47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52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</row>
    <row r="87" spans="1:81" ht="15" customHeight="1" x14ac:dyDescent="0.25">
      <c r="A87" s="46" t="s">
        <v>171</v>
      </c>
      <c r="B87" s="46" t="s">
        <v>88</v>
      </c>
      <c r="C87" s="46" t="s">
        <v>89</v>
      </c>
      <c r="D87" s="46">
        <v>40</v>
      </c>
      <c r="E87" s="46">
        <v>41</v>
      </c>
      <c r="F87" s="47">
        <v>44379</v>
      </c>
      <c r="G87" s="48" t="s">
        <v>89</v>
      </c>
      <c r="H87" s="48" t="s">
        <v>89</v>
      </c>
      <c r="I87" s="48" t="s">
        <v>89</v>
      </c>
      <c r="J87" s="48" t="s">
        <v>89</v>
      </c>
      <c r="K87" s="48" t="s">
        <v>89</v>
      </c>
      <c r="L87" s="48" t="s">
        <v>89</v>
      </c>
      <c r="M87" s="48" t="s">
        <v>89</v>
      </c>
      <c r="N87" s="48" t="s">
        <v>89</v>
      </c>
      <c r="O87" s="48" t="s">
        <v>89</v>
      </c>
      <c r="P87" s="48" t="s">
        <v>89</v>
      </c>
      <c r="Q87" s="48" t="s">
        <v>89</v>
      </c>
      <c r="R87" s="48" t="s">
        <v>89</v>
      </c>
      <c r="S87" s="48" t="s">
        <v>89</v>
      </c>
      <c r="T87" s="48" t="s">
        <v>89</v>
      </c>
      <c r="U87" s="48" t="s">
        <v>89</v>
      </c>
      <c r="V87" s="48" t="s">
        <v>89</v>
      </c>
      <c r="W87" s="48" t="s">
        <v>89</v>
      </c>
      <c r="X87" s="48" t="s">
        <v>89</v>
      </c>
      <c r="Y87" s="48" t="s">
        <v>89</v>
      </c>
      <c r="Z87" s="48" t="s">
        <v>89</v>
      </c>
      <c r="AA87" s="48" t="s">
        <v>89</v>
      </c>
      <c r="AB87" s="48" t="s">
        <v>89</v>
      </c>
      <c r="AC87" s="48" t="s">
        <v>89</v>
      </c>
      <c r="AD87" s="48" t="s">
        <v>89</v>
      </c>
      <c r="AE87" s="48" t="s">
        <v>89</v>
      </c>
      <c r="AF87" s="48" t="s">
        <v>89</v>
      </c>
      <c r="AG87" s="48" t="s">
        <v>89</v>
      </c>
      <c r="AH87" s="48" t="s">
        <v>89</v>
      </c>
      <c r="AI87" s="48" t="s">
        <v>89</v>
      </c>
      <c r="AJ87" s="48" t="s">
        <v>89</v>
      </c>
      <c r="AK87" s="48" t="s">
        <v>89</v>
      </c>
      <c r="AL87" s="48" t="s">
        <v>89</v>
      </c>
      <c r="AM87" s="49">
        <v>1</v>
      </c>
      <c r="AN87" s="47">
        <v>44440</v>
      </c>
      <c r="AO87" s="47">
        <v>44441</v>
      </c>
      <c r="AP87" s="46"/>
      <c r="AQ87" s="50">
        <f t="shared" si="4"/>
        <v>61</v>
      </c>
      <c r="AR87" s="47">
        <v>44442</v>
      </c>
      <c r="AS87" s="47"/>
      <c r="AT87" s="46" t="s">
        <v>108</v>
      </c>
      <c r="AU87" s="47">
        <v>44443</v>
      </c>
      <c r="AV87" s="47"/>
      <c r="AW87" s="46" t="s">
        <v>172</v>
      </c>
      <c r="AX87" s="47">
        <v>44447</v>
      </c>
      <c r="AY87" s="46"/>
      <c r="AZ87" s="46"/>
      <c r="BA87" s="46"/>
      <c r="BB87" s="46"/>
      <c r="BC87" s="47">
        <v>44417</v>
      </c>
      <c r="BD87" s="46"/>
      <c r="BE87" s="46"/>
      <c r="BF87" s="46"/>
      <c r="BG87" s="46"/>
      <c r="BH87" s="46"/>
      <c r="BI87" s="46"/>
      <c r="BJ87" s="52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</row>
    <row r="88" spans="1:81" ht="14.25" customHeight="1" x14ac:dyDescent="0.25">
      <c r="A88" s="46" t="s">
        <v>173</v>
      </c>
      <c r="B88" s="46" t="s">
        <v>93</v>
      </c>
      <c r="C88" s="46" t="s">
        <v>89</v>
      </c>
      <c r="D88" s="46">
        <v>16</v>
      </c>
      <c r="E88" s="46">
        <v>17</v>
      </c>
      <c r="F88" s="47">
        <v>44380</v>
      </c>
      <c r="G88" s="48" t="s">
        <v>89</v>
      </c>
      <c r="H88" s="48" t="s">
        <v>89</v>
      </c>
      <c r="I88" s="46" t="s">
        <v>89</v>
      </c>
      <c r="J88" s="46" t="s">
        <v>89</v>
      </c>
      <c r="K88" s="46" t="s">
        <v>89</v>
      </c>
      <c r="L88" s="46" t="s">
        <v>89</v>
      </c>
      <c r="M88" s="46" t="s">
        <v>89</v>
      </c>
      <c r="N88" s="46" t="s">
        <v>89</v>
      </c>
      <c r="O88" s="46" t="s">
        <v>89</v>
      </c>
      <c r="P88" s="46" t="s">
        <v>89</v>
      </c>
      <c r="Q88" s="46" t="s">
        <v>89</v>
      </c>
      <c r="R88" s="46" t="s">
        <v>89</v>
      </c>
      <c r="S88" s="46" t="s">
        <v>89</v>
      </c>
      <c r="T88" s="46" t="s">
        <v>89</v>
      </c>
      <c r="U88" s="46">
        <v>106</v>
      </c>
      <c r="V88" s="46">
        <f t="shared" ref="V88:V89" si="49">W88+Z88</f>
        <v>62</v>
      </c>
      <c r="W88" s="46">
        <v>59</v>
      </c>
      <c r="X88" s="46">
        <f t="shared" ref="X88:X89" si="50">W88-Y88</f>
        <v>59</v>
      </c>
      <c r="Y88" s="46">
        <v>0</v>
      </c>
      <c r="Z88" s="46">
        <f t="shared" ref="Z88:Z89" si="51">SUM(AA88:AG88)</f>
        <v>3</v>
      </c>
      <c r="AA88" s="46">
        <v>0</v>
      </c>
      <c r="AB88" s="46">
        <v>0</v>
      </c>
      <c r="AC88" s="46">
        <v>1</v>
      </c>
      <c r="AD88" s="46">
        <v>0</v>
      </c>
      <c r="AE88" s="46">
        <v>0</v>
      </c>
      <c r="AF88" s="46">
        <v>1</v>
      </c>
      <c r="AG88" s="46">
        <v>1</v>
      </c>
      <c r="AH88" s="46">
        <f t="shared" ref="AH88:AH89" si="52">SUM(AI88:AL88)</f>
        <v>44</v>
      </c>
      <c r="AI88" s="46">
        <v>15</v>
      </c>
      <c r="AJ88" s="46">
        <v>22</v>
      </c>
      <c r="AK88" s="46">
        <v>6</v>
      </c>
      <c r="AL88" s="46">
        <v>1</v>
      </c>
      <c r="AM88" s="49">
        <v>1</v>
      </c>
      <c r="AN88" s="46" t="s">
        <v>89</v>
      </c>
      <c r="AO88" s="46" t="s">
        <v>89</v>
      </c>
      <c r="AP88" s="46"/>
      <c r="AQ88" s="50" t="str">
        <f t="shared" si="4"/>
        <v>N.A.</v>
      </c>
      <c r="AR88" s="47"/>
      <c r="AS88" s="47"/>
      <c r="AT88" s="47"/>
      <c r="AU88" s="47"/>
      <c r="AV88" s="47"/>
      <c r="AW88" s="47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52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</row>
    <row r="89" spans="1:81" ht="15" customHeight="1" x14ac:dyDescent="0.25">
      <c r="A89" s="46" t="s">
        <v>174</v>
      </c>
      <c r="B89" s="46" t="s">
        <v>88</v>
      </c>
      <c r="C89" s="46" t="s">
        <v>89</v>
      </c>
      <c r="D89" s="46">
        <v>37</v>
      </c>
      <c r="E89" s="46">
        <v>38</v>
      </c>
      <c r="F89" s="47">
        <v>44380</v>
      </c>
      <c r="G89" s="48" t="s">
        <v>89</v>
      </c>
      <c r="H89" s="48" t="s">
        <v>89</v>
      </c>
      <c r="I89" s="46" t="s">
        <v>89</v>
      </c>
      <c r="J89" s="46" t="s">
        <v>89</v>
      </c>
      <c r="K89" s="46" t="s">
        <v>89</v>
      </c>
      <c r="L89" s="46" t="s">
        <v>89</v>
      </c>
      <c r="M89" s="46" t="s">
        <v>89</v>
      </c>
      <c r="N89" s="46" t="s">
        <v>89</v>
      </c>
      <c r="O89" s="46" t="s">
        <v>89</v>
      </c>
      <c r="P89" s="46" t="s">
        <v>89</v>
      </c>
      <c r="Q89" s="46" t="s">
        <v>89</v>
      </c>
      <c r="R89" s="46" t="s">
        <v>89</v>
      </c>
      <c r="S89" s="46" t="s">
        <v>89</v>
      </c>
      <c r="T89" s="46" t="s">
        <v>89</v>
      </c>
      <c r="U89" s="46">
        <v>93</v>
      </c>
      <c r="V89" s="46">
        <f t="shared" si="49"/>
        <v>88</v>
      </c>
      <c r="W89" s="46">
        <v>88</v>
      </c>
      <c r="X89" s="46">
        <f t="shared" si="50"/>
        <v>88</v>
      </c>
      <c r="Y89" s="46">
        <v>0</v>
      </c>
      <c r="Z89" s="46">
        <f t="shared" si="51"/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f t="shared" si="52"/>
        <v>5</v>
      </c>
      <c r="AI89" s="46">
        <v>5</v>
      </c>
      <c r="AJ89" s="46">
        <v>0</v>
      </c>
      <c r="AK89" s="46">
        <v>0</v>
      </c>
      <c r="AL89" s="46">
        <v>0</v>
      </c>
      <c r="AM89" s="49">
        <v>1</v>
      </c>
      <c r="AN89" s="47">
        <v>44452</v>
      </c>
      <c r="AO89" s="47">
        <v>44440</v>
      </c>
      <c r="AP89" s="46"/>
      <c r="AQ89" s="50">
        <f t="shared" si="4"/>
        <v>72</v>
      </c>
      <c r="AR89" s="47">
        <v>44443</v>
      </c>
      <c r="AS89" s="47"/>
      <c r="AT89" s="46" t="s">
        <v>108</v>
      </c>
      <c r="AU89" s="47">
        <v>44444</v>
      </c>
      <c r="AV89" s="47"/>
      <c r="AW89" s="47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52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</row>
    <row r="90" spans="1:81" ht="15" customHeight="1" x14ac:dyDescent="0.25">
      <c r="A90" s="46" t="s">
        <v>175</v>
      </c>
      <c r="B90" s="46" t="s">
        <v>88</v>
      </c>
      <c r="C90" s="46" t="s">
        <v>89</v>
      </c>
      <c r="D90" s="46">
        <v>152</v>
      </c>
      <c r="E90" s="46">
        <v>153</v>
      </c>
      <c r="F90" s="47">
        <v>44380</v>
      </c>
      <c r="G90" s="48" t="s">
        <v>89</v>
      </c>
      <c r="H90" s="48" t="s">
        <v>89</v>
      </c>
      <c r="I90" s="46" t="s">
        <v>89</v>
      </c>
      <c r="J90" s="46" t="s">
        <v>89</v>
      </c>
      <c r="K90" s="46" t="s">
        <v>89</v>
      </c>
      <c r="L90" s="46" t="s">
        <v>89</v>
      </c>
      <c r="M90" s="46" t="s">
        <v>89</v>
      </c>
      <c r="N90" s="46" t="s">
        <v>89</v>
      </c>
      <c r="O90" s="46" t="s">
        <v>89</v>
      </c>
      <c r="P90" s="46" t="s">
        <v>89</v>
      </c>
      <c r="Q90" s="46" t="s">
        <v>89</v>
      </c>
      <c r="R90" s="46" t="s">
        <v>89</v>
      </c>
      <c r="S90" s="46" t="s">
        <v>89</v>
      </c>
      <c r="T90" s="46" t="s">
        <v>89</v>
      </c>
      <c r="U90" s="46" t="s">
        <v>89</v>
      </c>
      <c r="V90" s="46" t="s">
        <v>89</v>
      </c>
      <c r="W90" s="46" t="s">
        <v>89</v>
      </c>
      <c r="X90" s="46" t="s">
        <v>89</v>
      </c>
      <c r="Y90" s="46" t="s">
        <v>89</v>
      </c>
      <c r="Z90" s="46" t="s">
        <v>89</v>
      </c>
      <c r="AA90" s="46" t="s">
        <v>89</v>
      </c>
      <c r="AB90" s="46" t="s">
        <v>89</v>
      </c>
      <c r="AC90" s="46" t="s">
        <v>89</v>
      </c>
      <c r="AD90" s="46" t="s">
        <v>89</v>
      </c>
      <c r="AE90" s="46" t="s">
        <v>89</v>
      </c>
      <c r="AF90" s="46" t="s">
        <v>89</v>
      </c>
      <c r="AG90" s="46" t="s">
        <v>89</v>
      </c>
      <c r="AH90" s="46" t="s">
        <v>89</v>
      </c>
      <c r="AI90" s="46" t="s">
        <v>89</v>
      </c>
      <c r="AJ90" s="46" t="s">
        <v>89</v>
      </c>
      <c r="AK90" s="46" t="s">
        <v>89</v>
      </c>
      <c r="AL90" s="46" t="s">
        <v>89</v>
      </c>
      <c r="AM90" s="49">
        <v>1</v>
      </c>
      <c r="AN90" s="47">
        <v>44433</v>
      </c>
      <c r="AO90" s="46" t="s">
        <v>89</v>
      </c>
      <c r="AP90" s="46"/>
      <c r="AQ90" s="50">
        <f t="shared" si="4"/>
        <v>53</v>
      </c>
      <c r="AR90" s="47"/>
      <c r="AS90" s="47"/>
      <c r="AT90" s="47"/>
      <c r="AU90" s="47"/>
      <c r="AV90" s="47"/>
      <c r="AW90" s="47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52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</row>
    <row r="91" spans="1:81" ht="15" customHeight="1" x14ac:dyDescent="0.25">
      <c r="A91" s="46" t="s">
        <v>176</v>
      </c>
      <c r="B91" s="46" t="s">
        <v>88</v>
      </c>
      <c r="C91" s="46" t="s">
        <v>89</v>
      </c>
      <c r="D91" s="46">
        <v>116</v>
      </c>
      <c r="E91" s="46">
        <v>117</v>
      </c>
      <c r="F91" s="47">
        <v>44380</v>
      </c>
      <c r="G91" s="48" t="s">
        <v>89</v>
      </c>
      <c r="H91" s="48" t="s">
        <v>89</v>
      </c>
      <c r="I91" s="46" t="s">
        <v>89</v>
      </c>
      <c r="J91" s="46" t="s">
        <v>89</v>
      </c>
      <c r="K91" s="46" t="s">
        <v>89</v>
      </c>
      <c r="L91" s="46" t="s">
        <v>89</v>
      </c>
      <c r="M91" s="46" t="s">
        <v>89</v>
      </c>
      <c r="N91" s="46" t="s">
        <v>89</v>
      </c>
      <c r="O91" s="46" t="s">
        <v>89</v>
      </c>
      <c r="P91" s="46" t="s">
        <v>89</v>
      </c>
      <c r="Q91" s="46" t="s">
        <v>89</v>
      </c>
      <c r="R91" s="46" t="s">
        <v>89</v>
      </c>
      <c r="S91" s="46" t="s">
        <v>89</v>
      </c>
      <c r="T91" s="46" t="s">
        <v>89</v>
      </c>
      <c r="U91" s="46" t="s">
        <v>89</v>
      </c>
      <c r="V91" s="46" t="s">
        <v>89</v>
      </c>
      <c r="W91" s="46" t="s">
        <v>89</v>
      </c>
      <c r="X91" s="46" t="s">
        <v>89</v>
      </c>
      <c r="Y91" s="46" t="s">
        <v>89</v>
      </c>
      <c r="Z91" s="46" t="s">
        <v>89</v>
      </c>
      <c r="AA91" s="46" t="s">
        <v>89</v>
      </c>
      <c r="AB91" s="46" t="s">
        <v>89</v>
      </c>
      <c r="AC91" s="46" t="s">
        <v>89</v>
      </c>
      <c r="AD91" s="46" t="s">
        <v>89</v>
      </c>
      <c r="AE91" s="46" t="s">
        <v>89</v>
      </c>
      <c r="AF91" s="46" t="s">
        <v>89</v>
      </c>
      <c r="AG91" s="46" t="s">
        <v>89</v>
      </c>
      <c r="AH91" s="46">
        <f t="shared" ref="AH91:AH92" si="53">SUM(AI91:AL91)</f>
        <v>15</v>
      </c>
      <c r="AI91" s="46">
        <v>15</v>
      </c>
      <c r="AJ91" s="46">
        <v>0</v>
      </c>
      <c r="AK91" s="46">
        <v>0</v>
      </c>
      <c r="AL91" s="46">
        <v>0</v>
      </c>
      <c r="AM91" s="46">
        <v>0</v>
      </c>
      <c r="AN91" s="47">
        <v>44396</v>
      </c>
      <c r="AO91" s="47">
        <v>44433</v>
      </c>
      <c r="AP91" s="46"/>
      <c r="AQ91" s="50">
        <f t="shared" si="4"/>
        <v>16</v>
      </c>
      <c r="AR91" s="47">
        <v>44446</v>
      </c>
      <c r="AS91" s="47"/>
      <c r="AT91" s="46" t="s">
        <v>172</v>
      </c>
      <c r="AU91" s="47">
        <v>44450</v>
      </c>
      <c r="AV91" s="47"/>
      <c r="AW91" s="47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52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</row>
    <row r="92" spans="1:81" ht="15" customHeight="1" x14ac:dyDescent="0.25">
      <c r="A92" s="46" t="s">
        <v>177</v>
      </c>
      <c r="B92" s="46" t="s">
        <v>93</v>
      </c>
      <c r="C92" s="46" t="s">
        <v>89</v>
      </c>
      <c r="D92" s="46">
        <v>67</v>
      </c>
      <c r="E92" s="46">
        <v>68</v>
      </c>
      <c r="F92" s="47">
        <v>44380</v>
      </c>
      <c r="G92" s="48" t="s">
        <v>89</v>
      </c>
      <c r="H92" s="48" t="s">
        <v>89</v>
      </c>
      <c r="I92" s="46" t="s">
        <v>89</v>
      </c>
      <c r="J92" s="46" t="s">
        <v>89</v>
      </c>
      <c r="K92" s="46" t="s">
        <v>89</v>
      </c>
      <c r="L92" s="46" t="s">
        <v>89</v>
      </c>
      <c r="M92" s="46" t="s">
        <v>89</v>
      </c>
      <c r="N92" s="46" t="s">
        <v>89</v>
      </c>
      <c r="O92" s="46" t="s">
        <v>89</v>
      </c>
      <c r="P92" s="46" t="s">
        <v>89</v>
      </c>
      <c r="Q92" s="46" t="s">
        <v>89</v>
      </c>
      <c r="R92" s="46" t="s">
        <v>89</v>
      </c>
      <c r="S92" s="46" t="s">
        <v>89</v>
      </c>
      <c r="T92" s="46" t="s">
        <v>89</v>
      </c>
      <c r="U92" s="46" t="s">
        <v>89</v>
      </c>
      <c r="V92" s="46" t="s">
        <v>89</v>
      </c>
      <c r="W92" s="46" t="s">
        <v>89</v>
      </c>
      <c r="X92" s="46" t="s">
        <v>89</v>
      </c>
      <c r="Y92" s="46" t="s">
        <v>89</v>
      </c>
      <c r="Z92" s="46">
        <f>SUM(AA92:AG92)</f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f t="shared" si="53"/>
        <v>0</v>
      </c>
      <c r="AI92" s="46" t="s">
        <v>89</v>
      </c>
      <c r="AJ92" s="46" t="s">
        <v>89</v>
      </c>
      <c r="AK92" s="46" t="s">
        <v>89</v>
      </c>
      <c r="AL92" s="46" t="s">
        <v>89</v>
      </c>
      <c r="AM92" s="49">
        <v>1</v>
      </c>
      <c r="AN92" s="46" t="s">
        <v>89</v>
      </c>
      <c r="AO92" s="46" t="s">
        <v>89</v>
      </c>
      <c r="AP92" s="46"/>
      <c r="AQ92" s="50" t="str">
        <f t="shared" si="4"/>
        <v>N.A.</v>
      </c>
      <c r="AR92" s="47"/>
      <c r="AS92" s="47"/>
      <c r="AT92" s="47"/>
      <c r="AU92" s="47"/>
      <c r="AV92" s="47"/>
      <c r="AW92" s="47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52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</row>
    <row r="93" spans="1:81" ht="15" customHeight="1" x14ac:dyDescent="0.25">
      <c r="A93" s="46" t="s">
        <v>178</v>
      </c>
      <c r="B93" s="46" t="s">
        <v>88</v>
      </c>
      <c r="C93" s="46" t="s">
        <v>89</v>
      </c>
      <c r="D93" s="46">
        <v>54</v>
      </c>
      <c r="E93" s="46">
        <v>55</v>
      </c>
      <c r="F93" s="47">
        <v>44380</v>
      </c>
      <c r="G93" s="48" t="s">
        <v>89</v>
      </c>
      <c r="H93" s="48" t="s">
        <v>89</v>
      </c>
      <c r="I93" s="46" t="s">
        <v>89</v>
      </c>
      <c r="J93" s="46" t="s">
        <v>89</v>
      </c>
      <c r="K93" s="46" t="s">
        <v>89</v>
      </c>
      <c r="L93" s="46" t="s">
        <v>89</v>
      </c>
      <c r="M93" s="46" t="s">
        <v>89</v>
      </c>
      <c r="N93" s="46" t="s">
        <v>89</v>
      </c>
      <c r="O93" s="46" t="s">
        <v>89</v>
      </c>
      <c r="P93" s="46" t="s">
        <v>89</v>
      </c>
      <c r="Q93" s="46" t="s">
        <v>89</v>
      </c>
      <c r="R93" s="46" t="s">
        <v>89</v>
      </c>
      <c r="S93" s="46" t="s">
        <v>89</v>
      </c>
      <c r="T93" s="46" t="s">
        <v>89</v>
      </c>
      <c r="U93" s="46" t="s">
        <v>89</v>
      </c>
      <c r="V93" s="46" t="s">
        <v>89</v>
      </c>
      <c r="W93" s="46" t="s">
        <v>89</v>
      </c>
      <c r="X93" s="46" t="s">
        <v>89</v>
      </c>
      <c r="Y93" s="46" t="s">
        <v>89</v>
      </c>
      <c r="Z93" s="46" t="s">
        <v>89</v>
      </c>
      <c r="AA93" s="46" t="s">
        <v>89</v>
      </c>
      <c r="AB93" s="46" t="s">
        <v>89</v>
      </c>
      <c r="AC93" s="46" t="s">
        <v>89</v>
      </c>
      <c r="AD93" s="46" t="s">
        <v>89</v>
      </c>
      <c r="AE93" s="46" t="s">
        <v>89</v>
      </c>
      <c r="AF93" s="46" t="s">
        <v>89</v>
      </c>
      <c r="AG93" s="46" t="s">
        <v>89</v>
      </c>
      <c r="AH93" s="46" t="s">
        <v>89</v>
      </c>
      <c r="AI93" s="46" t="s">
        <v>89</v>
      </c>
      <c r="AJ93" s="46" t="s">
        <v>89</v>
      </c>
      <c r="AK93" s="46" t="s">
        <v>89</v>
      </c>
      <c r="AL93" s="46" t="s">
        <v>89</v>
      </c>
      <c r="AM93" s="46">
        <v>0</v>
      </c>
      <c r="AN93" s="46" t="s">
        <v>89</v>
      </c>
      <c r="AO93" s="46"/>
      <c r="AP93" s="46"/>
      <c r="AQ93" s="50" t="str">
        <f t="shared" si="4"/>
        <v>N.A.</v>
      </c>
      <c r="AR93" s="47"/>
      <c r="AS93" s="47"/>
      <c r="AT93" s="47"/>
      <c r="AU93" s="47"/>
      <c r="AV93" s="47"/>
      <c r="AW93" s="47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52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</row>
    <row r="94" spans="1:81" ht="15" customHeight="1" x14ac:dyDescent="0.25">
      <c r="A94" s="46" t="s">
        <v>179</v>
      </c>
      <c r="B94" s="46" t="s">
        <v>93</v>
      </c>
      <c r="C94" s="46" t="s">
        <v>89</v>
      </c>
      <c r="D94" s="46">
        <v>13</v>
      </c>
      <c r="E94" s="46">
        <v>14</v>
      </c>
      <c r="F94" s="47">
        <v>44381</v>
      </c>
      <c r="G94" s="48" t="s">
        <v>89</v>
      </c>
      <c r="H94" s="48" t="s">
        <v>89</v>
      </c>
      <c r="I94" s="46" t="s">
        <v>89</v>
      </c>
      <c r="J94" s="46" t="s">
        <v>89</v>
      </c>
      <c r="K94" s="46" t="s">
        <v>89</v>
      </c>
      <c r="L94" s="46" t="s">
        <v>89</v>
      </c>
      <c r="M94" s="46" t="s">
        <v>89</v>
      </c>
      <c r="N94" s="46" t="s">
        <v>89</v>
      </c>
      <c r="O94" s="46" t="s">
        <v>89</v>
      </c>
      <c r="P94" s="46" t="s">
        <v>89</v>
      </c>
      <c r="Q94" s="46" t="s">
        <v>89</v>
      </c>
      <c r="R94" s="46" t="s">
        <v>89</v>
      </c>
      <c r="S94" s="46" t="s">
        <v>89</v>
      </c>
      <c r="T94" s="46" t="s">
        <v>89</v>
      </c>
      <c r="U94" s="46" t="s">
        <v>89</v>
      </c>
      <c r="V94" s="46" t="s">
        <v>89</v>
      </c>
      <c r="W94" s="46" t="s">
        <v>89</v>
      </c>
      <c r="X94" s="46" t="s">
        <v>89</v>
      </c>
      <c r="Y94" s="46" t="s">
        <v>89</v>
      </c>
      <c r="Z94" s="46" t="s">
        <v>89</v>
      </c>
      <c r="AA94" s="46" t="s">
        <v>89</v>
      </c>
      <c r="AB94" s="46" t="s">
        <v>89</v>
      </c>
      <c r="AC94" s="46" t="s">
        <v>89</v>
      </c>
      <c r="AD94" s="46" t="s">
        <v>89</v>
      </c>
      <c r="AE94" s="46" t="s">
        <v>89</v>
      </c>
      <c r="AF94" s="46" t="s">
        <v>89</v>
      </c>
      <c r="AG94" s="46" t="s">
        <v>89</v>
      </c>
      <c r="AH94" s="46" t="s">
        <v>89</v>
      </c>
      <c r="AI94" s="46" t="s">
        <v>89</v>
      </c>
      <c r="AJ94" s="46" t="s">
        <v>89</v>
      </c>
      <c r="AK94" s="46" t="s">
        <v>89</v>
      </c>
      <c r="AL94" s="46" t="s">
        <v>89</v>
      </c>
      <c r="AM94" s="46">
        <v>0</v>
      </c>
      <c r="AN94" s="46" t="s">
        <v>89</v>
      </c>
      <c r="AO94" s="46"/>
      <c r="AP94" s="46"/>
      <c r="AQ94" s="50" t="str">
        <f t="shared" si="4"/>
        <v>N.A.</v>
      </c>
      <c r="AR94" s="47"/>
      <c r="AS94" s="47"/>
      <c r="AT94" s="47"/>
      <c r="AU94" s="47"/>
      <c r="AV94" s="47"/>
      <c r="AW94" s="47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52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</row>
    <row r="95" spans="1:81" ht="15" customHeight="1" x14ac:dyDescent="0.25">
      <c r="A95" s="46" t="s">
        <v>180</v>
      </c>
      <c r="B95" s="46" t="s">
        <v>88</v>
      </c>
      <c r="C95" s="46" t="s">
        <v>89</v>
      </c>
      <c r="D95" s="46">
        <v>34</v>
      </c>
      <c r="E95" s="46">
        <v>35</v>
      </c>
      <c r="F95" s="47">
        <v>44381</v>
      </c>
      <c r="G95" s="48" t="s">
        <v>89</v>
      </c>
      <c r="H95" s="48" t="s">
        <v>89</v>
      </c>
      <c r="I95" s="46" t="s">
        <v>89</v>
      </c>
      <c r="J95" s="46" t="s">
        <v>89</v>
      </c>
      <c r="K95" s="46" t="s">
        <v>89</v>
      </c>
      <c r="L95" s="46" t="s">
        <v>89</v>
      </c>
      <c r="M95" s="46" t="s">
        <v>89</v>
      </c>
      <c r="N95" s="46" t="s">
        <v>89</v>
      </c>
      <c r="O95" s="46" t="s">
        <v>89</v>
      </c>
      <c r="P95" s="46" t="s">
        <v>89</v>
      </c>
      <c r="Q95" s="46" t="s">
        <v>89</v>
      </c>
      <c r="R95" s="46" t="s">
        <v>89</v>
      </c>
      <c r="S95" s="46" t="s">
        <v>89</v>
      </c>
      <c r="T95" s="46" t="s">
        <v>89</v>
      </c>
      <c r="U95" s="46">
        <v>95</v>
      </c>
      <c r="V95" s="46">
        <f t="shared" ref="V95:V97" si="54">W95+Z95</f>
        <v>93</v>
      </c>
      <c r="W95" s="46">
        <v>92</v>
      </c>
      <c r="X95" s="46">
        <f t="shared" ref="X95:X97" si="55">W95-Y95</f>
        <v>92</v>
      </c>
      <c r="Y95" s="46">
        <v>0</v>
      </c>
      <c r="Z95" s="46">
        <f t="shared" ref="Z95:Z99" si="56">SUM(AA95:AG95)</f>
        <v>1</v>
      </c>
      <c r="AA95" s="46">
        <v>0</v>
      </c>
      <c r="AB95" s="46">
        <v>0</v>
      </c>
      <c r="AC95" s="46">
        <v>1</v>
      </c>
      <c r="AD95" s="46">
        <v>0</v>
      </c>
      <c r="AE95" s="46">
        <v>0</v>
      </c>
      <c r="AF95" s="46">
        <v>0</v>
      </c>
      <c r="AG95" s="46">
        <v>0</v>
      </c>
      <c r="AH95" s="46">
        <f t="shared" ref="AH95:AH99" si="57">SUM(AI95:AL95)</f>
        <v>2</v>
      </c>
      <c r="AI95" s="46">
        <v>2</v>
      </c>
      <c r="AJ95" s="46">
        <v>0</v>
      </c>
      <c r="AK95" s="46">
        <v>0</v>
      </c>
      <c r="AL95" s="46">
        <v>0</v>
      </c>
      <c r="AM95" s="49">
        <v>1</v>
      </c>
      <c r="AN95" s="47">
        <v>44456</v>
      </c>
      <c r="AO95" s="47">
        <v>44434</v>
      </c>
      <c r="AP95" s="47"/>
      <c r="AQ95" s="50">
        <f t="shared" si="4"/>
        <v>75</v>
      </c>
      <c r="AR95" s="47">
        <v>44435</v>
      </c>
      <c r="AS95" s="47"/>
      <c r="AT95" s="47"/>
      <c r="AU95" s="47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52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</row>
    <row r="96" spans="1:81" ht="15" customHeight="1" x14ac:dyDescent="0.25">
      <c r="A96" s="46" t="s">
        <v>181</v>
      </c>
      <c r="B96" s="46" t="s">
        <v>93</v>
      </c>
      <c r="C96" s="46" t="s">
        <v>89</v>
      </c>
      <c r="D96" s="46">
        <v>153</v>
      </c>
      <c r="E96" s="46">
        <v>154</v>
      </c>
      <c r="F96" s="47">
        <v>44381</v>
      </c>
      <c r="G96" s="48" t="s">
        <v>89</v>
      </c>
      <c r="H96" s="48" t="s">
        <v>89</v>
      </c>
      <c r="I96" s="46" t="s">
        <v>89</v>
      </c>
      <c r="J96" s="46" t="s">
        <v>89</v>
      </c>
      <c r="K96" s="46" t="s">
        <v>89</v>
      </c>
      <c r="L96" s="46" t="s">
        <v>89</v>
      </c>
      <c r="M96" s="46" t="s">
        <v>89</v>
      </c>
      <c r="N96" s="46" t="s">
        <v>89</v>
      </c>
      <c r="O96" s="46" t="s">
        <v>89</v>
      </c>
      <c r="P96" s="46" t="s">
        <v>89</v>
      </c>
      <c r="Q96" s="46" t="s">
        <v>89</v>
      </c>
      <c r="R96" s="46" t="s">
        <v>89</v>
      </c>
      <c r="S96" s="46" t="s">
        <v>89</v>
      </c>
      <c r="T96" s="46" t="s">
        <v>89</v>
      </c>
      <c r="U96" s="46">
        <v>72</v>
      </c>
      <c r="V96" s="46">
        <f t="shared" si="54"/>
        <v>72</v>
      </c>
      <c r="W96" s="46">
        <v>71</v>
      </c>
      <c r="X96" s="46">
        <f t="shared" si="55"/>
        <v>71</v>
      </c>
      <c r="Y96" s="46">
        <v>0</v>
      </c>
      <c r="Z96" s="46">
        <f t="shared" si="56"/>
        <v>1</v>
      </c>
      <c r="AA96" s="46">
        <v>0</v>
      </c>
      <c r="AB96" s="46">
        <v>1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f t="shared" si="57"/>
        <v>0</v>
      </c>
      <c r="AI96" s="46">
        <v>0</v>
      </c>
      <c r="AJ96" s="46">
        <v>0</v>
      </c>
      <c r="AK96" s="46">
        <v>0</v>
      </c>
      <c r="AL96" s="46">
        <v>0</v>
      </c>
      <c r="AM96" s="49">
        <v>1</v>
      </c>
      <c r="AN96" s="46" t="s">
        <v>89</v>
      </c>
      <c r="AO96" s="47">
        <v>44435</v>
      </c>
      <c r="AP96" s="47"/>
      <c r="AQ96" s="50" t="str">
        <f t="shared" si="4"/>
        <v>N.A.</v>
      </c>
      <c r="AR96" s="47"/>
      <c r="AS96" s="47"/>
      <c r="AT96" s="47"/>
      <c r="AU96" s="47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52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</row>
    <row r="97" spans="1:81" ht="15" customHeight="1" x14ac:dyDescent="0.25">
      <c r="A97" s="46" t="s">
        <v>182</v>
      </c>
      <c r="B97" s="46" t="s">
        <v>88</v>
      </c>
      <c r="C97" s="46" t="s">
        <v>89</v>
      </c>
      <c r="D97" s="46">
        <v>155</v>
      </c>
      <c r="E97" s="46">
        <v>156</v>
      </c>
      <c r="F97" s="47">
        <v>44381</v>
      </c>
      <c r="G97" s="48" t="s">
        <v>89</v>
      </c>
      <c r="H97" s="48" t="s">
        <v>89</v>
      </c>
      <c r="I97" s="46" t="s">
        <v>89</v>
      </c>
      <c r="J97" s="46" t="s">
        <v>89</v>
      </c>
      <c r="K97" s="46" t="s">
        <v>89</v>
      </c>
      <c r="L97" s="46" t="s">
        <v>89</v>
      </c>
      <c r="M97" s="46" t="s">
        <v>89</v>
      </c>
      <c r="N97" s="46" t="s">
        <v>89</v>
      </c>
      <c r="O97" s="46" t="s">
        <v>89</v>
      </c>
      <c r="P97" s="46" t="s">
        <v>89</v>
      </c>
      <c r="Q97" s="46" t="s">
        <v>89</v>
      </c>
      <c r="R97" s="46" t="s">
        <v>89</v>
      </c>
      <c r="S97" s="46" t="s">
        <v>89</v>
      </c>
      <c r="T97" s="46" t="s">
        <v>89</v>
      </c>
      <c r="U97" s="46">
        <v>88</v>
      </c>
      <c r="V97" s="46">
        <f t="shared" si="54"/>
        <v>80</v>
      </c>
      <c r="W97" s="46">
        <v>78</v>
      </c>
      <c r="X97" s="46">
        <f t="shared" si="55"/>
        <v>68</v>
      </c>
      <c r="Y97" s="53">
        <v>10</v>
      </c>
      <c r="Z97" s="46">
        <f t="shared" si="56"/>
        <v>2</v>
      </c>
      <c r="AA97" s="46">
        <v>0</v>
      </c>
      <c r="AB97" s="46">
        <v>0</v>
      </c>
      <c r="AC97" s="46">
        <v>2</v>
      </c>
      <c r="AD97" s="46">
        <v>0</v>
      </c>
      <c r="AE97" s="46">
        <v>0</v>
      </c>
      <c r="AF97" s="46">
        <v>0</v>
      </c>
      <c r="AG97" s="46">
        <v>0</v>
      </c>
      <c r="AH97" s="46">
        <f t="shared" si="57"/>
        <v>8</v>
      </c>
      <c r="AI97" s="46">
        <v>7</v>
      </c>
      <c r="AJ97" s="46">
        <v>1</v>
      </c>
      <c r="AK97" s="46">
        <v>0</v>
      </c>
      <c r="AL97" s="46">
        <v>0</v>
      </c>
      <c r="AM97" s="49">
        <v>1</v>
      </c>
      <c r="AN97" s="47">
        <v>44458</v>
      </c>
      <c r="AO97" s="47">
        <v>44433</v>
      </c>
      <c r="AP97" s="47"/>
      <c r="AQ97" s="50">
        <f t="shared" si="4"/>
        <v>77</v>
      </c>
      <c r="AR97" s="47">
        <v>44434</v>
      </c>
      <c r="AS97" s="47"/>
      <c r="AT97" s="46" t="s">
        <v>108</v>
      </c>
      <c r="AU97" s="47">
        <v>44435</v>
      </c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52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</row>
    <row r="98" spans="1:81" ht="15" customHeight="1" x14ac:dyDescent="0.25">
      <c r="A98" s="46" t="s">
        <v>183</v>
      </c>
      <c r="B98" s="46" t="s">
        <v>93</v>
      </c>
      <c r="C98" s="46" t="s">
        <v>89</v>
      </c>
      <c r="D98" s="46">
        <v>10</v>
      </c>
      <c r="E98" s="46">
        <v>11</v>
      </c>
      <c r="F98" s="47">
        <v>44381</v>
      </c>
      <c r="G98" s="48" t="s">
        <v>89</v>
      </c>
      <c r="H98" s="48" t="s">
        <v>89</v>
      </c>
      <c r="I98" s="46" t="s">
        <v>89</v>
      </c>
      <c r="J98" s="46" t="s">
        <v>89</v>
      </c>
      <c r="K98" s="46" t="s">
        <v>89</v>
      </c>
      <c r="L98" s="46" t="s">
        <v>89</v>
      </c>
      <c r="M98" s="46" t="s">
        <v>89</v>
      </c>
      <c r="N98" s="46" t="s">
        <v>89</v>
      </c>
      <c r="O98" s="46" t="s">
        <v>89</v>
      </c>
      <c r="P98" s="46" t="s">
        <v>89</v>
      </c>
      <c r="Q98" s="46" t="s">
        <v>89</v>
      </c>
      <c r="R98" s="46" t="s">
        <v>89</v>
      </c>
      <c r="S98" s="46" t="s">
        <v>89</v>
      </c>
      <c r="T98" s="46" t="s">
        <v>89</v>
      </c>
      <c r="U98" s="46" t="s">
        <v>89</v>
      </c>
      <c r="V98" s="46" t="s">
        <v>89</v>
      </c>
      <c r="W98" s="46" t="s">
        <v>89</v>
      </c>
      <c r="X98" s="46" t="s">
        <v>89</v>
      </c>
      <c r="Y98" s="46" t="s">
        <v>89</v>
      </c>
      <c r="Z98" s="46">
        <f t="shared" si="56"/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f t="shared" si="57"/>
        <v>0</v>
      </c>
      <c r="AI98" s="46" t="s">
        <v>89</v>
      </c>
      <c r="AJ98" s="46" t="s">
        <v>89</v>
      </c>
      <c r="AK98" s="46">
        <v>0</v>
      </c>
      <c r="AL98" s="46">
        <v>0</v>
      </c>
      <c r="AM98" s="49">
        <v>1</v>
      </c>
      <c r="AN98" s="46" t="s">
        <v>89</v>
      </c>
      <c r="AO98" s="47"/>
      <c r="AP98" s="47"/>
      <c r="AQ98" s="50" t="str">
        <f t="shared" si="4"/>
        <v>N.A.</v>
      </c>
      <c r="AR98" s="47"/>
      <c r="AS98" s="47"/>
      <c r="AT98" s="47"/>
      <c r="AU98" s="47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52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</row>
    <row r="99" spans="1:81" ht="15" customHeight="1" x14ac:dyDescent="0.25">
      <c r="A99" s="46" t="s">
        <v>184</v>
      </c>
      <c r="B99" s="46" t="s">
        <v>88</v>
      </c>
      <c r="C99" s="46" t="s">
        <v>89</v>
      </c>
      <c r="D99" s="46">
        <v>153</v>
      </c>
      <c r="E99" s="46">
        <v>154</v>
      </c>
      <c r="F99" s="47">
        <v>44381</v>
      </c>
      <c r="G99" s="48" t="s">
        <v>89</v>
      </c>
      <c r="H99" s="48" t="s">
        <v>89</v>
      </c>
      <c r="I99" s="46" t="s">
        <v>89</v>
      </c>
      <c r="J99" s="46" t="s">
        <v>89</v>
      </c>
      <c r="K99" s="46" t="s">
        <v>89</v>
      </c>
      <c r="L99" s="46" t="s">
        <v>89</v>
      </c>
      <c r="M99" s="46" t="s">
        <v>89</v>
      </c>
      <c r="N99" s="46" t="s">
        <v>89</v>
      </c>
      <c r="O99" s="46" t="s">
        <v>89</v>
      </c>
      <c r="P99" s="46" t="s">
        <v>89</v>
      </c>
      <c r="Q99" s="46" t="s">
        <v>89</v>
      </c>
      <c r="R99" s="46" t="s">
        <v>89</v>
      </c>
      <c r="S99" s="46" t="s">
        <v>89</v>
      </c>
      <c r="T99" s="46" t="s">
        <v>89</v>
      </c>
      <c r="U99" s="46" t="s">
        <v>89</v>
      </c>
      <c r="V99" s="46" t="s">
        <v>89</v>
      </c>
      <c r="W99" s="46" t="s">
        <v>89</v>
      </c>
      <c r="X99" s="46" t="s">
        <v>89</v>
      </c>
      <c r="Y99" s="46" t="s">
        <v>89</v>
      </c>
      <c r="Z99" s="46">
        <f t="shared" si="56"/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f t="shared" si="57"/>
        <v>0</v>
      </c>
      <c r="AI99" s="46" t="s">
        <v>89</v>
      </c>
      <c r="AJ99" s="46" t="s">
        <v>89</v>
      </c>
      <c r="AK99" s="46">
        <v>0</v>
      </c>
      <c r="AL99" s="46">
        <v>0</v>
      </c>
      <c r="AM99" s="49">
        <v>1</v>
      </c>
      <c r="AN99" s="46" t="s">
        <v>89</v>
      </c>
      <c r="AO99" s="47"/>
      <c r="AP99" s="47"/>
      <c r="AQ99" s="50" t="str">
        <f t="shared" si="4"/>
        <v>N.A.</v>
      </c>
      <c r="AR99" s="47"/>
      <c r="AS99" s="47"/>
      <c r="AT99" s="47"/>
      <c r="AU99" s="47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52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</row>
    <row r="100" spans="1:81" ht="15" customHeight="1" x14ac:dyDescent="0.25">
      <c r="A100" s="46" t="s">
        <v>185</v>
      </c>
      <c r="B100" s="46" t="s">
        <v>93</v>
      </c>
      <c r="C100" s="46" t="s">
        <v>89</v>
      </c>
      <c r="D100" s="46">
        <v>136</v>
      </c>
      <c r="E100" s="46">
        <v>137</v>
      </c>
      <c r="F100" s="47">
        <v>44382</v>
      </c>
      <c r="G100" s="48" t="s">
        <v>89</v>
      </c>
      <c r="H100" s="48" t="s">
        <v>89</v>
      </c>
      <c r="I100" s="46" t="s">
        <v>89</v>
      </c>
      <c r="J100" s="46" t="s">
        <v>89</v>
      </c>
      <c r="K100" s="46" t="s">
        <v>89</v>
      </c>
      <c r="L100" s="46" t="s">
        <v>89</v>
      </c>
      <c r="M100" s="46" t="s">
        <v>89</v>
      </c>
      <c r="N100" s="46" t="s">
        <v>89</v>
      </c>
      <c r="O100" s="46" t="s">
        <v>89</v>
      </c>
      <c r="P100" s="46" t="s">
        <v>89</v>
      </c>
      <c r="Q100" s="46" t="s">
        <v>89</v>
      </c>
      <c r="R100" s="46" t="s">
        <v>89</v>
      </c>
      <c r="S100" s="46" t="s">
        <v>89</v>
      </c>
      <c r="T100" s="46" t="s">
        <v>89</v>
      </c>
      <c r="U100" s="46" t="s">
        <v>89</v>
      </c>
      <c r="V100" s="46" t="s">
        <v>89</v>
      </c>
      <c r="W100" s="46" t="s">
        <v>89</v>
      </c>
      <c r="X100" s="46" t="s">
        <v>89</v>
      </c>
      <c r="Y100" s="46" t="s">
        <v>89</v>
      </c>
      <c r="Z100" s="46" t="s">
        <v>89</v>
      </c>
      <c r="AA100" s="46" t="s">
        <v>89</v>
      </c>
      <c r="AB100" s="46" t="s">
        <v>89</v>
      </c>
      <c r="AC100" s="46" t="s">
        <v>89</v>
      </c>
      <c r="AD100" s="46" t="s">
        <v>89</v>
      </c>
      <c r="AE100" s="46" t="s">
        <v>89</v>
      </c>
      <c r="AF100" s="46" t="s">
        <v>89</v>
      </c>
      <c r="AG100" s="46" t="s">
        <v>89</v>
      </c>
      <c r="AH100" s="46" t="s">
        <v>89</v>
      </c>
      <c r="AI100" s="46" t="s">
        <v>89</v>
      </c>
      <c r="AJ100" s="46" t="s">
        <v>89</v>
      </c>
      <c r="AK100" s="46" t="s">
        <v>89</v>
      </c>
      <c r="AL100" s="46" t="s">
        <v>89</v>
      </c>
      <c r="AM100" s="46">
        <v>0</v>
      </c>
      <c r="AN100" s="46" t="s">
        <v>89</v>
      </c>
      <c r="AO100" s="47"/>
      <c r="AP100" s="47"/>
      <c r="AQ100" s="50" t="str">
        <f t="shared" si="4"/>
        <v>N.A.</v>
      </c>
      <c r="AR100" s="47"/>
      <c r="AS100" s="47"/>
      <c r="AT100" s="47"/>
      <c r="AU100" s="47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52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</row>
    <row r="101" spans="1:81" ht="15" customHeight="1" x14ac:dyDescent="0.25">
      <c r="A101" s="46" t="s">
        <v>186</v>
      </c>
      <c r="B101" s="46" t="s">
        <v>93</v>
      </c>
      <c r="C101" s="46" t="s">
        <v>89</v>
      </c>
      <c r="D101" s="46">
        <v>119</v>
      </c>
      <c r="E101" s="46">
        <v>120</v>
      </c>
      <c r="F101" s="47">
        <v>44382</v>
      </c>
      <c r="G101" s="48" t="s">
        <v>89</v>
      </c>
      <c r="H101" s="48" t="s">
        <v>89</v>
      </c>
      <c r="I101" s="46" t="s">
        <v>89</v>
      </c>
      <c r="J101" s="46" t="s">
        <v>89</v>
      </c>
      <c r="K101" s="46" t="s">
        <v>89</v>
      </c>
      <c r="L101" s="46" t="s">
        <v>89</v>
      </c>
      <c r="M101" s="46" t="s">
        <v>89</v>
      </c>
      <c r="N101" s="46" t="s">
        <v>89</v>
      </c>
      <c r="O101" s="46" t="s">
        <v>89</v>
      </c>
      <c r="P101" s="46" t="s">
        <v>89</v>
      </c>
      <c r="Q101" s="46" t="s">
        <v>89</v>
      </c>
      <c r="R101" s="46" t="s">
        <v>89</v>
      </c>
      <c r="S101" s="46" t="s">
        <v>89</v>
      </c>
      <c r="T101" s="46" t="s">
        <v>89</v>
      </c>
      <c r="U101" s="46">
        <v>100</v>
      </c>
      <c r="V101" s="46">
        <f>W101+Z101</f>
        <v>92</v>
      </c>
      <c r="W101" s="46">
        <v>89</v>
      </c>
      <c r="X101" s="46">
        <f>W101-Y101</f>
        <v>89</v>
      </c>
      <c r="Y101" s="46">
        <v>0</v>
      </c>
      <c r="Z101" s="46">
        <f>SUM(AA101:AG101)</f>
        <v>3</v>
      </c>
      <c r="AA101" s="46">
        <v>0</v>
      </c>
      <c r="AB101" s="46">
        <v>0</v>
      </c>
      <c r="AC101" s="46">
        <v>0</v>
      </c>
      <c r="AD101" s="46">
        <v>0</v>
      </c>
      <c r="AE101" s="46">
        <v>3</v>
      </c>
      <c r="AF101" s="46">
        <v>0</v>
      </c>
      <c r="AG101" s="46">
        <v>0</v>
      </c>
      <c r="AH101" s="46">
        <f>SUM(AI101:AL101)</f>
        <v>8</v>
      </c>
      <c r="AI101" s="46">
        <v>8</v>
      </c>
      <c r="AJ101" s="46">
        <v>0</v>
      </c>
      <c r="AK101" s="46">
        <v>0</v>
      </c>
      <c r="AL101" s="46">
        <v>0</v>
      </c>
      <c r="AM101" s="49">
        <v>1</v>
      </c>
      <c r="AN101" s="47">
        <v>44237</v>
      </c>
      <c r="AO101" s="47"/>
      <c r="AP101" s="47"/>
      <c r="AQ101" s="50">
        <f t="shared" si="4"/>
        <v>-145</v>
      </c>
      <c r="AR101" s="47"/>
      <c r="AS101" s="47"/>
      <c r="AT101" s="47"/>
      <c r="AU101" s="47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52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</row>
    <row r="102" spans="1:81" ht="15" customHeight="1" x14ac:dyDescent="0.25">
      <c r="A102" s="46" t="s">
        <v>187</v>
      </c>
      <c r="B102" s="46" t="s">
        <v>88</v>
      </c>
      <c r="C102" s="46" t="s">
        <v>89</v>
      </c>
      <c r="D102" s="46">
        <v>73</v>
      </c>
      <c r="E102" s="46">
        <v>74</v>
      </c>
      <c r="F102" s="47">
        <v>44382</v>
      </c>
      <c r="G102" s="48" t="s">
        <v>89</v>
      </c>
      <c r="H102" s="48" t="s">
        <v>89</v>
      </c>
      <c r="I102" s="46" t="s">
        <v>89</v>
      </c>
      <c r="J102" s="46" t="s">
        <v>89</v>
      </c>
      <c r="K102" s="46" t="s">
        <v>89</v>
      </c>
      <c r="L102" s="46" t="s">
        <v>89</v>
      </c>
      <c r="M102" s="46" t="s">
        <v>89</v>
      </c>
      <c r="N102" s="46" t="s">
        <v>89</v>
      </c>
      <c r="O102" s="46" t="s">
        <v>89</v>
      </c>
      <c r="P102" s="46" t="s">
        <v>89</v>
      </c>
      <c r="Q102" s="46" t="s">
        <v>89</v>
      </c>
      <c r="R102" s="46" t="s">
        <v>89</v>
      </c>
      <c r="S102" s="46" t="s">
        <v>89</v>
      </c>
      <c r="T102" s="46" t="s">
        <v>89</v>
      </c>
      <c r="U102" s="46" t="s">
        <v>89</v>
      </c>
      <c r="V102" s="46" t="s">
        <v>89</v>
      </c>
      <c r="W102" s="46" t="s">
        <v>89</v>
      </c>
      <c r="X102" s="46" t="s">
        <v>89</v>
      </c>
      <c r="Y102" s="46" t="s">
        <v>89</v>
      </c>
      <c r="Z102" s="46" t="s">
        <v>89</v>
      </c>
      <c r="AA102" s="46" t="s">
        <v>89</v>
      </c>
      <c r="AB102" s="46" t="s">
        <v>89</v>
      </c>
      <c r="AC102" s="46" t="s">
        <v>89</v>
      </c>
      <c r="AD102" s="46" t="s">
        <v>89</v>
      </c>
      <c r="AE102" s="46" t="s">
        <v>89</v>
      </c>
      <c r="AF102" s="46" t="s">
        <v>89</v>
      </c>
      <c r="AG102" s="46" t="s">
        <v>89</v>
      </c>
      <c r="AH102" s="46" t="s">
        <v>89</v>
      </c>
      <c r="AI102" s="46" t="s">
        <v>89</v>
      </c>
      <c r="AJ102" s="46" t="s">
        <v>89</v>
      </c>
      <c r="AK102" s="46" t="s">
        <v>89</v>
      </c>
      <c r="AL102" s="46" t="s">
        <v>89</v>
      </c>
      <c r="AM102" s="49">
        <v>1</v>
      </c>
      <c r="AN102" s="46" t="s">
        <v>89</v>
      </c>
      <c r="AO102" s="47"/>
      <c r="AP102" s="47"/>
      <c r="AQ102" s="50" t="str">
        <f t="shared" si="4"/>
        <v>N.A.</v>
      </c>
      <c r="AR102" s="47"/>
      <c r="AS102" s="47"/>
      <c r="AT102" s="47"/>
      <c r="AU102" s="47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52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</row>
    <row r="103" spans="1:81" ht="15" customHeight="1" x14ac:dyDescent="0.25">
      <c r="A103" s="46" t="s">
        <v>188</v>
      </c>
      <c r="B103" s="46" t="s">
        <v>93</v>
      </c>
      <c r="C103" s="46" t="s">
        <v>89</v>
      </c>
      <c r="D103" s="46">
        <v>105</v>
      </c>
      <c r="E103" s="46">
        <v>106</v>
      </c>
      <c r="F103" s="47">
        <v>44383</v>
      </c>
      <c r="G103" s="48" t="s">
        <v>89</v>
      </c>
      <c r="H103" s="48" t="s">
        <v>89</v>
      </c>
      <c r="I103" s="46" t="s">
        <v>89</v>
      </c>
      <c r="J103" s="46" t="s">
        <v>89</v>
      </c>
      <c r="K103" s="46" t="s">
        <v>89</v>
      </c>
      <c r="L103" s="46" t="s">
        <v>89</v>
      </c>
      <c r="M103" s="46" t="s">
        <v>89</v>
      </c>
      <c r="N103" s="46" t="s">
        <v>89</v>
      </c>
      <c r="O103" s="46" t="s">
        <v>89</v>
      </c>
      <c r="P103" s="46" t="s">
        <v>89</v>
      </c>
      <c r="Q103" s="46" t="s">
        <v>89</v>
      </c>
      <c r="R103" s="46" t="s">
        <v>89</v>
      </c>
      <c r="S103" s="46" t="s">
        <v>89</v>
      </c>
      <c r="T103" s="46" t="s">
        <v>89</v>
      </c>
      <c r="U103" s="46" t="s">
        <v>89</v>
      </c>
      <c r="V103" s="46" t="s">
        <v>89</v>
      </c>
      <c r="W103" s="46" t="s">
        <v>89</v>
      </c>
      <c r="X103" s="46" t="s">
        <v>89</v>
      </c>
      <c r="Y103" s="46" t="s">
        <v>89</v>
      </c>
      <c r="Z103" s="46" t="s">
        <v>89</v>
      </c>
      <c r="AA103" s="46" t="s">
        <v>89</v>
      </c>
      <c r="AB103" s="46" t="s">
        <v>89</v>
      </c>
      <c r="AC103" s="46" t="s">
        <v>89</v>
      </c>
      <c r="AD103" s="46" t="s">
        <v>89</v>
      </c>
      <c r="AE103" s="46" t="s">
        <v>89</v>
      </c>
      <c r="AF103" s="46" t="s">
        <v>89</v>
      </c>
      <c r="AG103" s="46" t="s">
        <v>89</v>
      </c>
      <c r="AH103" s="46" t="s">
        <v>89</v>
      </c>
      <c r="AI103" s="46" t="s">
        <v>89</v>
      </c>
      <c r="AJ103" s="46" t="s">
        <v>89</v>
      </c>
      <c r="AK103" s="46" t="s">
        <v>89</v>
      </c>
      <c r="AL103" s="46" t="s">
        <v>89</v>
      </c>
      <c r="AM103" s="46">
        <v>0</v>
      </c>
      <c r="AN103" s="46" t="s">
        <v>89</v>
      </c>
      <c r="AO103" s="47"/>
      <c r="AP103" s="47"/>
      <c r="AQ103" s="50" t="str">
        <f t="shared" si="4"/>
        <v>N.A.</v>
      </c>
      <c r="AR103" s="47"/>
      <c r="AS103" s="47"/>
      <c r="AT103" s="47"/>
      <c r="AU103" s="47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52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</row>
    <row r="104" spans="1:81" ht="15" customHeight="1" x14ac:dyDescent="0.25">
      <c r="A104" s="46" t="s">
        <v>189</v>
      </c>
      <c r="B104" s="46" t="s">
        <v>88</v>
      </c>
      <c r="C104" s="46" t="s">
        <v>89</v>
      </c>
      <c r="D104" s="46">
        <v>36</v>
      </c>
      <c r="E104" s="46">
        <v>37</v>
      </c>
      <c r="F104" s="47">
        <v>44383</v>
      </c>
      <c r="G104" s="48" t="s">
        <v>89</v>
      </c>
      <c r="H104" s="48" t="s">
        <v>89</v>
      </c>
      <c r="I104" s="46" t="s">
        <v>89</v>
      </c>
      <c r="J104" s="46" t="s">
        <v>89</v>
      </c>
      <c r="K104" s="46" t="s">
        <v>89</v>
      </c>
      <c r="L104" s="46" t="s">
        <v>89</v>
      </c>
      <c r="M104" s="46" t="s">
        <v>89</v>
      </c>
      <c r="N104" s="46" t="s">
        <v>89</v>
      </c>
      <c r="O104" s="46" t="s">
        <v>89</v>
      </c>
      <c r="P104" s="46" t="s">
        <v>89</v>
      </c>
      <c r="Q104" s="46" t="s">
        <v>89</v>
      </c>
      <c r="R104" s="46" t="s">
        <v>89</v>
      </c>
      <c r="S104" s="46" t="s">
        <v>89</v>
      </c>
      <c r="T104" s="46" t="s">
        <v>89</v>
      </c>
      <c r="U104" s="46" t="s">
        <v>89</v>
      </c>
      <c r="V104" s="46" t="s">
        <v>89</v>
      </c>
      <c r="W104" s="46" t="s">
        <v>89</v>
      </c>
      <c r="X104" s="46" t="s">
        <v>89</v>
      </c>
      <c r="Y104" s="46" t="s">
        <v>89</v>
      </c>
      <c r="Z104" s="46" t="s">
        <v>89</v>
      </c>
      <c r="AA104" s="46" t="s">
        <v>89</v>
      </c>
      <c r="AB104" s="46" t="s">
        <v>89</v>
      </c>
      <c r="AC104" s="46" t="s">
        <v>89</v>
      </c>
      <c r="AD104" s="46" t="s">
        <v>89</v>
      </c>
      <c r="AE104" s="46" t="s">
        <v>89</v>
      </c>
      <c r="AF104" s="46" t="s">
        <v>89</v>
      </c>
      <c r="AG104" s="46" t="s">
        <v>89</v>
      </c>
      <c r="AH104" s="46" t="s">
        <v>89</v>
      </c>
      <c r="AI104" s="46" t="s">
        <v>89</v>
      </c>
      <c r="AJ104" s="46" t="s">
        <v>89</v>
      </c>
      <c r="AK104" s="46" t="s">
        <v>89</v>
      </c>
      <c r="AL104" s="46" t="s">
        <v>89</v>
      </c>
      <c r="AM104" s="46">
        <v>0</v>
      </c>
      <c r="AN104" s="46" t="s">
        <v>89</v>
      </c>
      <c r="AO104" s="47"/>
      <c r="AP104" s="47"/>
      <c r="AQ104" s="50" t="str">
        <f t="shared" si="4"/>
        <v>N.A.</v>
      </c>
      <c r="AR104" s="47"/>
      <c r="AS104" s="47"/>
      <c r="AT104" s="47"/>
      <c r="AU104" s="47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52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</row>
    <row r="105" spans="1:81" ht="15" customHeight="1" x14ac:dyDescent="0.25">
      <c r="A105" s="46" t="s">
        <v>190</v>
      </c>
      <c r="B105" s="46" t="s">
        <v>88</v>
      </c>
      <c r="C105" s="46" t="s">
        <v>89</v>
      </c>
      <c r="D105" s="46">
        <v>155</v>
      </c>
      <c r="E105" s="46">
        <v>156</v>
      </c>
      <c r="F105" s="47">
        <v>44383</v>
      </c>
      <c r="G105" s="48" t="s">
        <v>89</v>
      </c>
      <c r="H105" s="48" t="s">
        <v>89</v>
      </c>
      <c r="I105" s="46" t="s">
        <v>89</v>
      </c>
      <c r="J105" s="46" t="s">
        <v>89</v>
      </c>
      <c r="K105" s="46" t="s">
        <v>89</v>
      </c>
      <c r="L105" s="46" t="s">
        <v>89</v>
      </c>
      <c r="M105" s="46" t="s">
        <v>89</v>
      </c>
      <c r="N105" s="46" t="s">
        <v>89</v>
      </c>
      <c r="O105" s="46" t="s">
        <v>89</v>
      </c>
      <c r="P105" s="46" t="s">
        <v>89</v>
      </c>
      <c r="Q105" s="46" t="s">
        <v>89</v>
      </c>
      <c r="R105" s="46" t="s">
        <v>89</v>
      </c>
      <c r="S105" s="46" t="s">
        <v>89</v>
      </c>
      <c r="T105" s="46" t="s">
        <v>89</v>
      </c>
      <c r="U105" s="46" t="s">
        <v>89</v>
      </c>
      <c r="V105" s="46" t="s">
        <v>89</v>
      </c>
      <c r="W105" s="46" t="s">
        <v>89</v>
      </c>
      <c r="X105" s="46" t="s">
        <v>89</v>
      </c>
      <c r="Y105" s="46" t="s">
        <v>89</v>
      </c>
      <c r="Z105" s="46" t="s">
        <v>89</v>
      </c>
      <c r="AA105" s="46" t="s">
        <v>89</v>
      </c>
      <c r="AB105" s="46" t="s">
        <v>89</v>
      </c>
      <c r="AC105" s="46" t="s">
        <v>89</v>
      </c>
      <c r="AD105" s="46" t="s">
        <v>89</v>
      </c>
      <c r="AE105" s="46" t="s">
        <v>89</v>
      </c>
      <c r="AF105" s="46" t="s">
        <v>89</v>
      </c>
      <c r="AG105" s="46" t="s">
        <v>89</v>
      </c>
      <c r="AH105" s="46" t="s">
        <v>89</v>
      </c>
      <c r="AI105" s="46" t="s">
        <v>89</v>
      </c>
      <c r="AJ105" s="46" t="s">
        <v>89</v>
      </c>
      <c r="AK105" s="46" t="s">
        <v>89</v>
      </c>
      <c r="AL105" s="46" t="s">
        <v>89</v>
      </c>
      <c r="AM105" s="46">
        <v>0</v>
      </c>
      <c r="AN105" s="46" t="s">
        <v>89</v>
      </c>
      <c r="AO105" s="47"/>
      <c r="AP105" s="47"/>
      <c r="AQ105" s="50" t="str">
        <f t="shared" si="4"/>
        <v>N.A.</v>
      </c>
      <c r="AR105" s="47"/>
      <c r="AS105" s="47"/>
      <c r="AT105" s="47"/>
      <c r="AU105" s="47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52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</row>
    <row r="106" spans="1:81" ht="15" customHeight="1" x14ac:dyDescent="0.25">
      <c r="A106" s="46" t="s">
        <v>191</v>
      </c>
      <c r="B106" s="46" t="s">
        <v>88</v>
      </c>
      <c r="C106" s="46" t="s">
        <v>89</v>
      </c>
      <c r="D106" s="46">
        <v>27</v>
      </c>
      <c r="E106" s="46">
        <v>28</v>
      </c>
      <c r="F106" s="47">
        <v>44383</v>
      </c>
      <c r="G106" s="48" t="s">
        <v>89</v>
      </c>
      <c r="H106" s="48" t="s">
        <v>89</v>
      </c>
      <c r="I106" s="46" t="s">
        <v>89</v>
      </c>
      <c r="J106" s="46" t="s">
        <v>89</v>
      </c>
      <c r="K106" s="46" t="s">
        <v>89</v>
      </c>
      <c r="L106" s="46" t="s">
        <v>89</v>
      </c>
      <c r="M106" s="46" t="s">
        <v>89</v>
      </c>
      <c r="N106" s="46" t="s">
        <v>89</v>
      </c>
      <c r="O106" s="46" t="s">
        <v>89</v>
      </c>
      <c r="P106" s="46" t="s">
        <v>89</v>
      </c>
      <c r="Q106" s="46" t="s">
        <v>89</v>
      </c>
      <c r="R106" s="46" t="s">
        <v>89</v>
      </c>
      <c r="S106" s="46" t="s">
        <v>89</v>
      </c>
      <c r="T106" s="46" t="s">
        <v>89</v>
      </c>
      <c r="U106" s="53">
        <v>85</v>
      </c>
      <c r="V106" s="46">
        <f t="shared" ref="V106:V108" si="58">W106+Z106</f>
        <v>74</v>
      </c>
      <c r="W106" s="46">
        <v>18</v>
      </c>
      <c r="X106" s="46">
        <f t="shared" ref="X106:X108" si="59">W106-Y106</f>
        <v>11</v>
      </c>
      <c r="Y106" s="46">
        <v>7</v>
      </c>
      <c r="Z106" s="46">
        <f t="shared" ref="Z106:Z108" si="60">SUM(AA106:AG106)</f>
        <v>56</v>
      </c>
      <c r="AA106" s="46">
        <v>21</v>
      </c>
      <c r="AB106" s="46">
        <v>35</v>
      </c>
      <c r="AC106" s="46">
        <v>0</v>
      </c>
      <c r="AD106" s="46">
        <v>0</v>
      </c>
      <c r="AE106" s="46">
        <v>0</v>
      </c>
      <c r="AF106" s="46">
        <v>0</v>
      </c>
      <c r="AG106" s="46">
        <v>0</v>
      </c>
      <c r="AH106" s="46">
        <f t="shared" ref="AH106:AH108" si="61">SUM(AI106:AL106)</f>
        <v>11</v>
      </c>
      <c r="AI106" s="46">
        <v>11</v>
      </c>
      <c r="AJ106" s="46">
        <v>0</v>
      </c>
      <c r="AK106" s="46">
        <v>0</v>
      </c>
      <c r="AL106" s="46">
        <v>0</v>
      </c>
      <c r="AM106" s="49">
        <v>1</v>
      </c>
      <c r="AN106" s="47">
        <v>44453</v>
      </c>
      <c r="AO106" s="47">
        <v>44440</v>
      </c>
      <c r="AP106" s="47"/>
      <c r="AQ106" s="50">
        <f t="shared" si="4"/>
        <v>70</v>
      </c>
      <c r="AR106" s="47">
        <v>44442</v>
      </c>
      <c r="AS106" s="47"/>
      <c r="AT106" s="46" t="s">
        <v>108</v>
      </c>
      <c r="AU106" s="47">
        <v>44443</v>
      </c>
      <c r="AV106" s="46"/>
      <c r="AW106" s="46" t="s">
        <v>108</v>
      </c>
      <c r="AX106" s="47">
        <v>44444</v>
      </c>
      <c r="AY106" s="46"/>
      <c r="AZ106" s="46"/>
      <c r="BA106" s="47"/>
      <c r="BB106" s="46"/>
      <c r="BC106" s="47"/>
      <c r="BD106" s="46"/>
      <c r="BE106" s="46"/>
      <c r="BF106" s="47"/>
      <c r="BG106" s="46"/>
      <c r="BH106" s="46"/>
      <c r="BI106" s="46"/>
      <c r="BJ106" s="52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</row>
    <row r="107" spans="1:81" ht="15" customHeight="1" x14ac:dyDescent="0.25">
      <c r="A107" s="46" t="s">
        <v>192</v>
      </c>
      <c r="B107" s="46" t="s">
        <v>88</v>
      </c>
      <c r="C107" s="46" t="s">
        <v>89</v>
      </c>
      <c r="D107" s="46">
        <v>136</v>
      </c>
      <c r="E107" s="46">
        <v>137</v>
      </c>
      <c r="F107" s="47">
        <v>44383</v>
      </c>
      <c r="G107" s="48" t="s">
        <v>89</v>
      </c>
      <c r="H107" s="48" t="s">
        <v>89</v>
      </c>
      <c r="I107" s="46" t="s">
        <v>89</v>
      </c>
      <c r="J107" s="46" t="s">
        <v>89</v>
      </c>
      <c r="K107" s="46" t="s">
        <v>89</v>
      </c>
      <c r="L107" s="46" t="s">
        <v>89</v>
      </c>
      <c r="M107" s="46" t="s">
        <v>89</v>
      </c>
      <c r="N107" s="46" t="s">
        <v>89</v>
      </c>
      <c r="O107" s="46" t="s">
        <v>89</v>
      </c>
      <c r="P107" s="46" t="s">
        <v>89</v>
      </c>
      <c r="Q107" s="46" t="s">
        <v>89</v>
      </c>
      <c r="R107" s="46" t="s">
        <v>89</v>
      </c>
      <c r="S107" s="46" t="s">
        <v>89</v>
      </c>
      <c r="T107" s="46" t="s">
        <v>89</v>
      </c>
      <c r="U107" s="46">
        <v>77</v>
      </c>
      <c r="V107" s="46">
        <f t="shared" si="58"/>
        <v>71</v>
      </c>
      <c r="W107" s="46">
        <v>70</v>
      </c>
      <c r="X107" s="46">
        <f t="shared" si="59"/>
        <v>70</v>
      </c>
      <c r="Y107" s="46">
        <v>0</v>
      </c>
      <c r="Z107" s="46">
        <f t="shared" si="60"/>
        <v>1</v>
      </c>
      <c r="AA107" s="46">
        <v>0</v>
      </c>
      <c r="AB107" s="46">
        <v>0</v>
      </c>
      <c r="AC107" s="46">
        <v>1</v>
      </c>
      <c r="AD107" s="46">
        <v>0</v>
      </c>
      <c r="AE107" s="46">
        <v>0</v>
      </c>
      <c r="AF107" s="46">
        <v>0</v>
      </c>
      <c r="AG107" s="46">
        <v>0</v>
      </c>
      <c r="AH107" s="46">
        <f t="shared" si="61"/>
        <v>6</v>
      </c>
      <c r="AI107" s="46">
        <v>6</v>
      </c>
      <c r="AJ107" s="46">
        <v>0</v>
      </c>
      <c r="AK107" s="46">
        <v>0</v>
      </c>
      <c r="AL107" s="46">
        <v>0</v>
      </c>
      <c r="AM107" s="49">
        <v>1</v>
      </c>
      <c r="AN107" s="47">
        <v>44456</v>
      </c>
      <c r="AO107" s="47">
        <v>44433</v>
      </c>
      <c r="AP107" s="47"/>
      <c r="AQ107" s="50">
        <f t="shared" si="4"/>
        <v>73</v>
      </c>
      <c r="AR107" s="47"/>
      <c r="AS107" s="47"/>
      <c r="AT107" s="47"/>
      <c r="AU107" s="47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52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</row>
    <row r="108" spans="1:81" ht="15" customHeight="1" x14ac:dyDescent="0.25">
      <c r="A108" s="46" t="s">
        <v>193</v>
      </c>
      <c r="B108" s="46" t="s">
        <v>88</v>
      </c>
      <c r="C108" s="46" t="s">
        <v>89</v>
      </c>
      <c r="D108" s="46">
        <v>20</v>
      </c>
      <c r="E108" s="46">
        <v>21</v>
      </c>
      <c r="F108" s="47">
        <v>44383</v>
      </c>
      <c r="G108" s="48" t="s">
        <v>89</v>
      </c>
      <c r="H108" s="48" t="s">
        <v>89</v>
      </c>
      <c r="I108" s="46" t="s">
        <v>89</v>
      </c>
      <c r="J108" s="46" t="s">
        <v>89</v>
      </c>
      <c r="K108" s="46" t="s">
        <v>89</v>
      </c>
      <c r="L108" s="46" t="s">
        <v>89</v>
      </c>
      <c r="M108" s="46" t="s">
        <v>89</v>
      </c>
      <c r="N108" s="46" t="s">
        <v>89</v>
      </c>
      <c r="O108" s="46" t="s">
        <v>89</v>
      </c>
      <c r="P108" s="46" t="s">
        <v>89</v>
      </c>
      <c r="Q108" s="46" t="s">
        <v>89</v>
      </c>
      <c r="R108" s="46" t="s">
        <v>89</v>
      </c>
      <c r="S108" s="46" t="s">
        <v>89</v>
      </c>
      <c r="T108" s="46" t="s">
        <v>89</v>
      </c>
      <c r="U108" s="46">
        <v>107</v>
      </c>
      <c r="V108" s="46">
        <f t="shared" si="58"/>
        <v>104</v>
      </c>
      <c r="W108" s="46">
        <v>95</v>
      </c>
      <c r="X108" s="46">
        <f t="shared" si="59"/>
        <v>94</v>
      </c>
      <c r="Y108" s="46">
        <v>1</v>
      </c>
      <c r="Z108" s="46">
        <f t="shared" si="60"/>
        <v>9</v>
      </c>
      <c r="AA108" s="46">
        <v>4</v>
      </c>
      <c r="AB108" s="46">
        <v>0</v>
      </c>
      <c r="AC108" s="46">
        <v>0</v>
      </c>
      <c r="AD108" s="46">
        <v>5</v>
      </c>
      <c r="AE108" s="46">
        <v>0</v>
      </c>
      <c r="AF108" s="46">
        <v>0</v>
      </c>
      <c r="AG108" s="46">
        <v>0</v>
      </c>
      <c r="AH108" s="46">
        <f t="shared" si="61"/>
        <v>3</v>
      </c>
      <c r="AI108" s="46">
        <v>3</v>
      </c>
      <c r="AJ108" s="46">
        <v>0</v>
      </c>
      <c r="AK108" s="46">
        <v>0</v>
      </c>
      <c r="AL108" s="46">
        <v>0</v>
      </c>
      <c r="AM108" s="49">
        <v>1</v>
      </c>
      <c r="AN108" s="47">
        <v>44452</v>
      </c>
      <c r="AO108" s="47">
        <v>44435</v>
      </c>
      <c r="AP108" s="47"/>
      <c r="AQ108" s="50">
        <f t="shared" si="4"/>
        <v>69</v>
      </c>
      <c r="AR108" s="47">
        <v>44438</v>
      </c>
      <c r="AS108" s="47"/>
      <c r="AT108" s="46" t="s">
        <v>172</v>
      </c>
      <c r="AU108" s="47">
        <v>44442</v>
      </c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52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</row>
    <row r="109" spans="1:81" ht="15" customHeight="1" x14ac:dyDescent="0.25">
      <c r="A109" s="46" t="s">
        <v>194</v>
      </c>
      <c r="B109" s="46" t="s">
        <v>88</v>
      </c>
      <c r="C109" s="46" t="s">
        <v>89</v>
      </c>
      <c r="D109" s="46">
        <v>112</v>
      </c>
      <c r="E109" s="46">
        <v>113</v>
      </c>
      <c r="F109" s="47">
        <v>44383</v>
      </c>
      <c r="G109" s="48" t="s">
        <v>89</v>
      </c>
      <c r="H109" s="48" t="s">
        <v>89</v>
      </c>
      <c r="I109" s="46" t="s">
        <v>89</v>
      </c>
      <c r="J109" s="46" t="s">
        <v>89</v>
      </c>
      <c r="K109" s="46" t="s">
        <v>89</v>
      </c>
      <c r="L109" s="46" t="s">
        <v>89</v>
      </c>
      <c r="M109" s="46" t="s">
        <v>89</v>
      </c>
      <c r="N109" s="46" t="s">
        <v>89</v>
      </c>
      <c r="O109" s="46" t="s">
        <v>89</v>
      </c>
      <c r="P109" s="46" t="s">
        <v>89</v>
      </c>
      <c r="Q109" s="46" t="s">
        <v>89</v>
      </c>
      <c r="R109" s="46" t="s">
        <v>89</v>
      </c>
      <c r="S109" s="46" t="s">
        <v>89</v>
      </c>
      <c r="T109" s="46" t="s">
        <v>89</v>
      </c>
      <c r="U109" s="46" t="s">
        <v>89</v>
      </c>
      <c r="V109" s="46" t="s">
        <v>89</v>
      </c>
      <c r="W109" s="46" t="s">
        <v>89</v>
      </c>
      <c r="X109" s="46" t="s">
        <v>89</v>
      </c>
      <c r="Y109" s="46" t="s">
        <v>89</v>
      </c>
      <c r="Z109" s="46" t="s">
        <v>89</v>
      </c>
      <c r="AA109" s="46" t="s">
        <v>89</v>
      </c>
      <c r="AB109" s="46" t="s">
        <v>89</v>
      </c>
      <c r="AC109" s="46" t="s">
        <v>89</v>
      </c>
      <c r="AD109" s="46" t="s">
        <v>89</v>
      </c>
      <c r="AE109" s="46" t="s">
        <v>89</v>
      </c>
      <c r="AF109" s="46" t="s">
        <v>89</v>
      </c>
      <c r="AG109" s="46" t="s">
        <v>89</v>
      </c>
      <c r="AH109" s="46" t="s">
        <v>89</v>
      </c>
      <c r="AI109" s="46" t="s">
        <v>89</v>
      </c>
      <c r="AJ109" s="46" t="s">
        <v>89</v>
      </c>
      <c r="AK109" s="46" t="s">
        <v>89</v>
      </c>
      <c r="AL109" s="46" t="s">
        <v>89</v>
      </c>
      <c r="AM109" s="46">
        <v>0</v>
      </c>
      <c r="AN109" s="46" t="s">
        <v>89</v>
      </c>
      <c r="AO109" s="47"/>
      <c r="AP109" s="47"/>
      <c r="AQ109" s="50" t="str">
        <f t="shared" si="4"/>
        <v>N.A.</v>
      </c>
      <c r="AR109" s="47"/>
      <c r="AS109" s="47"/>
      <c r="AT109" s="47"/>
      <c r="AU109" s="47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52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</row>
    <row r="110" spans="1:81" ht="15" customHeight="1" x14ac:dyDescent="0.25">
      <c r="A110" s="46" t="s">
        <v>195</v>
      </c>
      <c r="B110" s="46" t="s">
        <v>88</v>
      </c>
      <c r="C110" s="46" t="s">
        <v>89</v>
      </c>
      <c r="D110" s="46">
        <v>35</v>
      </c>
      <c r="E110" s="46">
        <v>36</v>
      </c>
      <c r="F110" s="47">
        <v>44383</v>
      </c>
      <c r="G110" s="48" t="s">
        <v>89</v>
      </c>
      <c r="H110" s="48" t="s">
        <v>89</v>
      </c>
      <c r="I110" s="48" t="s">
        <v>89</v>
      </c>
      <c r="J110" s="48" t="s">
        <v>89</v>
      </c>
      <c r="K110" s="48" t="s">
        <v>89</v>
      </c>
      <c r="L110" s="48" t="s">
        <v>89</v>
      </c>
      <c r="M110" s="48" t="s">
        <v>89</v>
      </c>
      <c r="N110" s="48" t="s">
        <v>89</v>
      </c>
      <c r="O110" s="48" t="s">
        <v>89</v>
      </c>
      <c r="P110" s="48" t="s">
        <v>89</v>
      </c>
      <c r="Q110" s="48" t="s">
        <v>89</v>
      </c>
      <c r="R110" s="48" t="s">
        <v>89</v>
      </c>
      <c r="S110" s="48" t="s">
        <v>89</v>
      </c>
      <c r="T110" s="48" t="s">
        <v>89</v>
      </c>
      <c r="U110" s="46">
        <v>99</v>
      </c>
      <c r="V110" s="46">
        <f>W110+Z110</f>
        <v>89</v>
      </c>
      <c r="W110" s="46">
        <v>88</v>
      </c>
      <c r="X110" s="46">
        <f>W110-Y110</f>
        <v>87</v>
      </c>
      <c r="Y110" s="46">
        <v>1</v>
      </c>
      <c r="Z110" s="46">
        <f>SUM(AA110:AG110)</f>
        <v>1</v>
      </c>
      <c r="AA110" s="46">
        <v>0</v>
      </c>
      <c r="AB110" s="46">
        <v>0</v>
      </c>
      <c r="AC110" s="46">
        <v>0</v>
      </c>
      <c r="AD110" s="46">
        <v>1</v>
      </c>
      <c r="AE110" s="46">
        <v>0</v>
      </c>
      <c r="AF110" s="46">
        <v>0</v>
      </c>
      <c r="AG110" s="46">
        <v>0</v>
      </c>
      <c r="AH110" s="46">
        <f>SUM(AI110:AL110)</f>
        <v>10</v>
      </c>
      <c r="AI110" s="46">
        <v>9</v>
      </c>
      <c r="AJ110" s="46">
        <v>1</v>
      </c>
      <c r="AK110" s="46">
        <v>0</v>
      </c>
      <c r="AL110" s="46">
        <v>0</v>
      </c>
      <c r="AM110" s="49">
        <v>1</v>
      </c>
      <c r="AN110" s="47">
        <v>44452</v>
      </c>
      <c r="AO110" s="47">
        <v>44435</v>
      </c>
      <c r="AP110" s="47"/>
      <c r="AQ110" s="50">
        <f t="shared" si="4"/>
        <v>69</v>
      </c>
      <c r="AR110" s="47">
        <v>44436</v>
      </c>
      <c r="AS110" s="47"/>
      <c r="AT110" s="47"/>
      <c r="AU110" s="47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52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</row>
    <row r="111" spans="1:81" ht="15" customHeight="1" x14ac:dyDescent="0.25">
      <c r="A111" s="46" t="s">
        <v>196</v>
      </c>
      <c r="B111" s="46" t="s">
        <v>88</v>
      </c>
      <c r="C111" s="46" t="s">
        <v>89</v>
      </c>
      <c r="D111" s="46">
        <v>30</v>
      </c>
      <c r="E111" s="46">
        <v>31</v>
      </c>
      <c r="F111" s="47">
        <v>44383</v>
      </c>
      <c r="G111" s="48" t="s">
        <v>89</v>
      </c>
      <c r="H111" s="48" t="s">
        <v>89</v>
      </c>
      <c r="I111" s="48" t="s">
        <v>89</v>
      </c>
      <c r="J111" s="48" t="s">
        <v>89</v>
      </c>
      <c r="K111" s="48" t="s">
        <v>89</v>
      </c>
      <c r="L111" s="48" t="s">
        <v>89</v>
      </c>
      <c r="M111" s="48" t="s">
        <v>89</v>
      </c>
      <c r="N111" s="48" t="s">
        <v>89</v>
      </c>
      <c r="O111" s="48" t="s">
        <v>89</v>
      </c>
      <c r="P111" s="48" t="s">
        <v>89</v>
      </c>
      <c r="Q111" s="48" t="s">
        <v>89</v>
      </c>
      <c r="R111" s="48" t="s">
        <v>89</v>
      </c>
      <c r="S111" s="48" t="s">
        <v>89</v>
      </c>
      <c r="T111" s="48" t="s">
        <v>89</v>
      </c>
      <c r="U111" s="48" t="s">
        <v>89</v>
      </c>
      <c r="V111" s="48" t="s">
        <v>89</v>
      </c>
      <c r="W111" s="48" t="s">
        <v>89</v>
      </c>
      <c r="X111" s="48" t="s">
        <v>89</v>
      </c>
      <c r="Y111" s="48" t="s">
        <v>89</v>
      </c>
      <c r="Z111" s="48" t="s">
        <v>89</v>
      </c>
      <c r="AA111" s="48" t="s">
        <v>89</v>
      </c>
      <c r="AB111" s="48" t="s">
        <v>89</v>
      </c>
      <c r="AC111" s="48" t="s">
        <v>89</v>
      </c>
      <c r="AD111" s="48" t="s">
        <v>89</v>
      </c>
      <c r="AE111" s="48" t="s">
        <v>89</v>
      </c>
      <c r="AF111" s="48" t="s">
        <v>89</v>
      </c>
      <c r="AG111" s="48" t="s">
        <v>89</v>
      </c>
      <c r="AH111" s="48" t="s">
        <v>89</v>
      </c>
      <c r="AI111" s="48" t="s">
        <v>89</v>
      </c>
      <c r="AJ111" s="48" t="s">
        <v>89</v>
      </c>
      <c r="AK111" s="46">
        <v>0</v>
      </c>
      <c r="AL111" s="46">
        <v>0</v>
      </c>
      <c r="AM111" s="49">
        <v>1</v>
      </c>
      <c r="AN111" s="46" t="s">
        <v>89</v>
      </c>
      <c r="AO111" s="47"/>
      <c r="AP111" s="47"/>
      <c r="AQ111" s="50" t="str">
        <f t="shared" si="4"/>
        <v>N.A.</v>
      </c>
      <c r="AR111" s="47"/>
      <c r="AS111" s="47"/>
      <c r="AT111" s="47"/>
      <c r="AU111" s="47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52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</row>
    <row r="112" spans="1:81" ht="15" customHeight="1" x14ac:dyDescent="0.25">
      <c r="A112" s="46" t="s">
        <v>197</v>
      </c>
      <c r="B112" s="46" t="s">
        <v>88</v>
      </c>
      <c r="C112" s="46" t="s">
        <v>89</v>
      </c>
      <c r="D112" s="46">
        <v>112</v>
      </c>
      <c r="E112" s="46">
        <v>113</v>
      </c>
      <c r="F112" s="47">
        <v>44383</v>
      </c>
      <c r="G112" s="48" t="s">
        <v>89</v>
      </c>
      <c r="H112" s="48" t="s">
        <v>89</v>
      </c>
      <c r="I112" s="48" t="s">
        <v>89</v>
      </c>
      <c r="J112" s="48" t="s">
        <v>89</v>
      </c>
      <c r="K112" s="48" t="s">
        <v>89</v>
      </c>
      <c r="L112" s="48" t="s">
        <v>89</v>
      </c>
      <c r="M112" s="48" t="s">
        <v>89</v>
      </c>
      <c r="N112" s="48" t="s">
        <v>89</v>
      </c>
      <c r="O112" s="48" t="s">
        <v>89</v>
      </c>
      <c r="P112" s="48" t="s">
        <v>89</v>
      </c>
      <c r="Q112" s="48" t="s">
        <v>89</v>
      </c>
      <c r="R112" s="48" t="s">
        <v>89</v>
      </c>
      <c r="S112" s="48" t="s">
        <v>89</v>
      </c>
      <c r="T112" s="48" t="s">
        <v>89</v>
      </c>
      <c r="U112" s="48" t="s">
        <v>89</v>
      </c>
      <c r="V112" s="48" t="s">
        <v>89</v>
      </c>
      <c r="W112" s="48" t="s">
        <v>89</v>
      </c>
      <c r="X112" s="48" t="s">
        <v>89</v>
      </c>
      <c r="Y112" s="48" t="s">
        <v>89</v>
      </c>
      <c r="Z112" s="48" t="s">
        <v>89</v>
      </c>
      <c r="AA112" s="48" t="s">
        <v>89</v>
      </c>
      <c r="AB112" s="48" t="s">
        <v>89</v>
      </c>
      <c r="AC112" s="48" t="s">
        <v>89</v>
      </c>
      <c r="AD112" s="48" t="s">
        <v>89</v>
      </c>
      <c r="AE112" s="48" t="s">
        <v>89</v>
      </c>
      <c r="AF112" s="48" t="s">
        <v>89</v>
      </c>
      <c r="AG112" s="48" t="s">
        <v>89</v>
      </c>
      <c r="AH112" s="48" t="s">
        <v>89</v>
      </c>
      <c r="AI112" s="48" t="s">
        <v>89</v>
      </c>
      <c r="AJ112" s="48" t="s">
        <v>89</v>
      </c>
      <c r="AK112" s="46">
        <v>0</v>
      </c>
      <c r="AL112" s="46">
        <v>0</v>
      </c>
      <c r="AM112" s="49">
        <v>1</v>
      </c>
      <c r="AN112" s="46" t="s">
        <v>89</v>
      </c>
      <c r="AO112" s="47"/>
      <c r="AP112" s="47"/>
      <c r="AQ112" s="50" t="str">
        <f t="shared" si="4"/>
        <v>N.A.</v>
      </c>
      <c r="AR112" s="47"/>
      <c r="AS112" s="47"/>
      <c r="AT112" s="47"/>
      <c r="AU112" s="47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52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</row>
    <row r="113" spans="1:81" ht="15" customHeight="1" x14ac:dyDescent="0.25">
      <c r="A113" s="46" t="s">
        <v>198</v>
      </c>
      <c r="B113" s="46" t="s">
        <v>93</v>
      </c>
      <c r="C113" s="46" t="s">
        <v>89</v>
      </c>
      <c r="D113" s="46">
        <v>14</v>
      </c>
      <c r="E113" s="46">
        <v>15</v>
      </c>
      <c r="F113" s="47">
        <v>44384</v>
      </c>
      <c r="G113" s="48" t="s">
        <v>89</v>
      </c>
      <c r="H113" s="48" t="s">
        <v>89</v>
      </c>
      <c r="I113" s="48" t="s">
        <v>89</v>
      </c>
      <c r="J113" s="48" t="s">
        <v>89</v>
      </c>
      <c r="K113" s="48" t="s">
        <v>89</v>
      </c>
      <c r="L113" s="48" t="s">
        <v>89</v>
      </c>
      <c r="M113" s="48" t="s">
        <v>89</v>
      </c>
      <c r="N113" s="48" t="s">
        <v>89</v>
      </c>
      <c r="O113" s="48" t="s">
        <v>89</v>
      </c>
      <c r="P113" s="48" t="s">
        <v>89</v>
      </c>
      <c r="Q113" s="48" t="s">
        <v>89</v>
      </c>
      <c r="R113" s="48" t="s">
        <v>89</v>
      </c>
      <c r="S113" s="48" t="s">
        <v>89</v>
      </c>
      <c r="T113" s="48" t="s">
        <v>89</v>
      </c>
      <c r="U113" s="46">
        <v>52</v>
      </c>
      <c r="V113" s="46">
        <f>W113+Z113</f>
        <v>51</v>
      </c>
      <c r="W113" s="46">
        <v>50</v>
      </c>
      <c r="X113" s="46">
        <f>W113-Y113</f>
        <v>49</v>
      </c>
      <c r="Y113" s="46">
        <v>1</v>
      </c>
      <c r="Z113" s="46">
        <f>SUM(AA113:AG113)</f>
        <v>1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1</v>
      </c>
      <c r="AH113" s="46">
        <f>SUM(AI113:AL113)</f>
        <v>1</v>
      </c>
      <c r="AI113" s="46">
        <v>1</v>
      </c>
      <c r="AJ113" s="46">
        <v>0</v>
      </c>
      <c r="AK113" s="46">
        <v>0</v>
      </c>
      <c r="AL113" s="46">
        <v>0</v>
      </c>
      <c r="AM113" s="49">
        <v>1</v>
      </c>
      <c r="AN113" s="47">
        <v>44453</v>
      </c>
      <c r="AO113" s="47">
        <v>44446</v>
      </c>
      <c r="AP113" s="47"/>
      <c r="AQ113" s="50">
        <f t="shared" si="4"/>
        <v>69</v>
      </c>
      <c r="AR113" s="47"/>
      <c r="AS113" s="47"/>
      <c r="AT113" s="47"/>
      <c r="AU113" s="47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52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</row>
    <row r="114" spans="1:81" ht="15" customHeight="1" x14ac:dyDescent="0.25">
      <c r="A114" s="46" t="s">
        <v>199</v>
      </c>
      <c r="B114" s="46" t="s">
        <v>93</v>
      </c>
      <c r="C114" s="46" t="s">
        <v>89</v>
      </c>
      <c r="D114" s="46">
        <v>77</v>
      </c>
      <c r="E114" s="46">
        <v>78</v>
      </c>
      <c r="F114" s="47">
        <v>44384</v>
      </c>
      <c r="G114" s="48" t="s">
        <v>89</v>
      </c>
      <c r="H114" s="48" t="s">
        <v>89</v>
      </c>
      <c r="I114" s="46" t="s">
        <v>89</v>
      </c>
      <c r="J114" s="46" t="s">
        <v>89</v>
      </c>
      <c r="K114" s="46" t="s">
        <v>89</v>
      </c>
      <c r="L114" s="46" t="s">
        <v>89</v>
      </c>
      <c r="M114" s="46" t="s">
        <v>89</v>
      </c>
      <c r="N114" s="46" t="s">
        <v>89</v>
      </c>
      <c r="O114" s="46" t="s">
        <v>89</v>
      </c>
      <c r="P114" s="46" t="s">
        <v>89</v>
      </c>
      <c r="Q114" s="46" t="s">
        <v>89</v>
      </c>
      <c r="R114" s="46" t="s">
        <v>89</v>
      </c>
      <c r="S114" s="46" t="s">
        <v>89</v>
      </c>
      <c r="T114" s="46" t="s">
        <v>89</v>
      </c>
      <c r="U114" s="46" t="s">
        <v>89</v>
      </c>
      <c r="V114" s="46" t="s">
        <v>89</v>
      </c>
      <c r="W114" s="46" t="s">
        <v>89</v>
      </c>
      <c r="X114" s="46" t="s">
        <v>89</v>
      </c>
      <c r="Y114" s="46" t="s">
        <v>89</v>
      </c>
      <c r="Z114" s="46" t="s">
        <v>89</v>
      </c>
      <c r="AA114" s="46" t="s">
        <v>89</v>
      </c>
      <c r="AB114" s="46" t="s">
        <v>89</v>
      </c>
      <c r="AC114" s="46" t="s">
        <v>89</v>
      </c>
      <c r="AD114" s="46" t="s">
        <v>89</v>
      </c>
      <c r="AE114" s="46" t="s">
        <v>89</v>
      </c>
      <c r="AF114" s="46" t="s">
        <v>89</v>
      </c>
      <c r="AG114" s="46" t="s">
        <v>89</v>
      </c>
      <c r="AH114" s="46" t="s">
        <v>89</v>
      </c>
      <c r="AI114" s="46" t="s">
        <v>89</v>
      </c>
      <c r="AJ114" s="46" t="s">
        <v>89</v>
      </c>
      <c r="AK114" s="46">
        <v>0</v>
      </c>
      <c r="AL114" s="46">
        <v>0</v>
      </c>
      <c r="AM114" s="49">
        <v>1</v>
      </c>
      <c r="AN114" s="46" t="s">
        <v>89</v>
      </c>
      <c r="AO114" s="47"/>
      <c r="AP114" s="47"/>
      <c r="AQ114" s="50" t="str">
        <f t="shared" si="4"/>
        <v>N.A.</v>
      </c>
      <c r="AR114" s="47"/>
      <c r="AS114" s="47"/>
      <c r="AT114" s="47"/>
      <c r="AU114" s="47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52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</row>
    <row r="115" spans="1:81" ht="15" customHeight="1" x14ac:dyDescent="0.25">
      <c r="A115" s="46" t="s">
        <v>200</v>
      </c>
      <c r="B115" s="46" t="s">
        <v>88</v>
      </c>
      <c r="C115" s="46" t="s">
        <v>89</v>
      </c>
      <c r="D115" s="46">
        <v>152</v>
      </c>
      <c r="E115" s="46">
        <v>153</v>
      </c>
      <c r="F115" s="47">
        <v>44384</v>
      </c>
      <c r="G115" s="48" t="s">
        <v>89</v>
      </c>
      <c r="H115" s="48" t="s">
        <v>89</v>
      </c>
      <c r="I115" s="46" t="s">
        <v>89</v>
      </c>
      <c r="J115" s="46" t="s">
        <v>89</v>
      </c>
      <c r="K115" s="46" t="s">
        <v>89</v>
      </c>
      <c r="L115" s="46" t="s">
        <v>89</v>
      </c>
      <c r="M115" s="46" t="s">
        <v>89</v>
      </c>
      <c r="N115" s="46" t="s">
        <v>89</v>
      </c>
      <c r="O115" s="46" t="s">
        <v>89</v>
      </c>
      <c r="P115" s="46" t="s">
        <v>89</v>
      </c>
      <c r="Q115" s="46" t="s">
        <v>89</v>
      </c>
      <c r="R115" s="46" t="s">
        <v>89</v>
      </c>
      <c r="S115" s="46" t="s">
        <v>89</v>
      </c>
      <c r="T115" s="46" t="s">
        <v>89</v>
      </c>
      <c r="U115" s="46" t="s">
        <v>89</v>
      </c>
      <c r="V115" s="46" t="s">
        <v>89</v>
      </c>
      <c r="W115" s="46" t="s">
        <v>89</v>
      </c>
      <c r="X115" s="46" t="s">
        <v>89</v>
      </c>
      <c r="Y115" s="46" t="s">
        <v>89</v>
      </c>
      <c r="Z115" s="46" t="s">
        <v>89</v>
      </c>
      <c r="AA115" s="46" t="s">
        <v>89</v>
      </c>
      <c r="AB115" s="46" t="s">
        <v>89</v>
      </c>
      <c r="AC115" s="46" t="s">
        <v>89</v>
      </c>
      <c r="AD115" s="46" t="s">
        <v>89</v>
      </c>
      <c r="AE115" s="46" t="s">
        <v>89</v>
      </c>
      <c r="AF115" s="46" t="s">
        <v>89</v>
      </c>
      <c r="AG115" s="46" t="s">
        <v>89</v>
      </c>
      <c r="AH115" s="46" t="s">
        <v>89</v>
      </c>
      <c r="AI115" s="46" t="s">
        <v>89</v>
      </c>
      <c r="AJ115" s="46" t="s">
        <v>89</v>
      </c>
      <c r="AK115" s="46">
        <v>0</v>
      </c>
      <c r="AL115" s="46">
        <v>0</v>
      </c>
      <c r="AM115" s="49">
        <v>1</v>
      </c>
      <c r="AN115" s="46" t="s">
        <v>89</v>
      </c>
      <c r="AO115" s="47"/>
      <c r="AP115" s="47"/>
      <c r="AQ115" s="50" t="str">
        <f t="shared" si="4"/>
        <v>N.A.</v>
      </c>
      <c r="AR115" s="47"/>
      <c r="AS115" s="47"/>
      <c r="AT115" s="47"/>
      <c r="AU115" s="47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52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</row>
    <row r="116" spans="1:81" ht="15" customHeight="1" x14ac:dyDescent="0.25">
      <c r="A116" s="46" t="s">
        <v>201</v>
      </c>
      <c r="B116" s="46" t="s">
        <v>93</v>
      </c>
      <c r="C116" s="46" t="s">
        <v>89</v>
      </c>
      <c r="D116" s="46">
        <v>158</v>
      </c>
      <c r="E116" s="46">
        <v>159</v>
      </c>
      <c r="F116" s="47">
        <v>44385</v>
      </c>
      <c r="G116" s="48" t="s">
        <v>89</v>
      </c>
      <c r="H116" s="48" t="s">
        <v>89</v>
      </c>
      <c r="I116" s="48" t="s">
        <v>89</v>
      </c>
      <c r="J116" s="48" t="s">
        <v>89</v>
      </c>
      <c r="K116" s="48" t="s">
        <v>89</v>
      </c>
      <c r="L116" s="48" t="s">
        <v>89</v>
      </c>
      <c r="M116" s="48" t="s">
        <v>89</v>
      </c>
      <c r="N116" s="48" t="s">
        <v>89</v>
      </c>
      <c r="O116" s="48" t="s">
        <v>89</v>
      </c>
      <c r="P116" s="48" t="s">
        <v>89</v>
      </c>
      <c r="Q116" s="48" t="s">
        <v>89</v>
      </c>
      <c r="R116" s="48" t="s">
        <v>89</v>
      </c>
      <c r="S116" s="48" t="s">
        <v>89</v>
      </c>
      <c r="T116" s="48" t="s">
        <v>89</v>
      </c>
      <c r="U116" s="46">
        <v>112</v>
      </c>
      <c r="V116" s="46">
        <f>W116+Z116</f>
        <v>109</v>
      </c>
      <c r="W116" s="46">
        <v>109</v>
      </c>
      <c r="X116" s="46">
        <f>W116-Y116</f>
        <v>97</v>
      </c>
      <c r="Y116" s="46">
        <v>12</v>
      </c>
      <c r="Z116" s="46">
        <f>SUM(AA116:AG116)</f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f>SUM(AI116:AL116)</f>
        <v>3</v>
      </c>
      <c r="AI116" s="46">
        <v>3</v>
      </c>
      <c r="AJ116" s="46">
        <v>0</v>
      </c>
      <c r="AK116" s="46">
        <v>0</v>
      </c>
      <c r="AL116" s="46">
        <v>0</v>
      </c>
      <c r="AM116" s="49">
        <v>1</v>
      </c>
      <c r="AN116" s="47">
        <v>44445</v>
      </c>
      <c r="AO116" s="47">
        <v>44436</v>
      </c>
      <c r="AP116" s="47"/>
      <c r="AQ116" s="50">
        <f t="shared" si="4"/>
        <v>60</v>
      </c>
      <c r="AR116" s="47">
        <v>44437</v>
      </c>
      <c r="AS116" s="47"/>
      <c r="AT116" s="46" t="s">
        <v>202</v>
      </c>
      <c r="AU116" s="47">
        <v>44440</v>
      </c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52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</row>
    <row r="117" spans="1:81" ht="15" customHeight="1" x14ac:dyDescent="0.25">
      <c r="A117" s="46" t="s">
        <v>203</v>
      </c>
      <c r="B117" s="46" t="s">
        <v>93</v>
      </c>
      <c r="C117" s="46" t="s">
        <v>89</v>
      </c>
      <c r="D117" s="46">
        <v>135</v>
      </c>
      <c r="E117" s="46">
        <v>136</v>
      </c>
      <c r="F117" s="47">
        <v>44385</v>
      </c>
      <c r="G117" s="48" t="s">
        <v>89</v>
      </c>
      <c r="H117" s="48" t="s">
        <v>89</v>
      </c>
      <c r="I117" s="46" t="s">
        <v>89</v>
      </c>
      <c r="J117" s="46" t="s">
        <v>89</v>
      </c>
      <c r="K117" s="46" t="s">
        <v>89</v>
      </c>
      <c r="L117" s="46" t="s">
        <v>89</v>
      </c>
      <c r="M117" s="46" t="s">
        <v>89</v>
      </c>
      <c r="N117" s="46" t="s">
        <v>89</v>
      </c>
      <c r="O117" s="46" t="s">
        <v>89</v>
      </c>
      <c r="P117" s="46" t="s">
        <v>89</v>
      </c>
      <c r="Q117" s="46" t="s">
        <v>89</v>
      </c>
      <c r="R117" s="46" t="s">
        <v>89</v>
      </c>
      <c r="S117" s="46" t="s">
        <v>89</v>
      </c>
      <c r="T117" s="46" t="s">
        <v>89</v>
      </c>
      <c r="U117" s="46" t="s">
        <v>89</v>
      </c>
      <c r="V117" s="46" t="s">
        <v>89</v>
      </c>
      <c r="W117" s="46" t="s">
        <v>89</v>
      </c>
      <c r="X117" s="46" t="s">
        <v>89</v>
      </c>
      <c r="Y117" s="46" t="s">
        <v>89</v>
      </c>
      <c r="Z117" s="46" t="s">
        <v>89</v>
      </c>
      <c r="AA117" s="46" t="s">
        <v>89</v>
      </c>
      <c r="AB117" s="46" t="s">
        <v>89</v>
      </c>
      <c r="AC117" s="46" t="s">
        <v>89</v>
      </c>
      <c r="AD117" s="46" t="s">
        <v>89</v>
      </c>
      <c r="AE117" s="46" t="s">
        <v>89</v>
      </c>
      <c r="AF117" s="46" t="s">
        <v>89</v>
      </c>
      <c r="AG117" s="46" t="s">
        <v>89</v>
      </c>
      <c r="AH117" s="46" t="s">
        <v>89</v>
      </c>
      <c r="AI117" s="46" t="s">
        <v>89</v>
      </c>
      <c r="AJ117" s="46" t="s">
        <v>89</v>
      </c>
      <c r="AK117" s="46">
        <v>0</v>
      </c>
      <c r="AL117" s="46">
        <v>0</v>
      </c>
      <c r="AM117" s="46">
        <v>0</v>
      </c>
      <c r="AN117" s="46" t="s">
        <v>89</v>
      </c>
      <c r="AO117" s="46"/>
      <c r="AP117" s="46"/>
      <c r="AQ117" s="50" t="str">
        <f t="shared" si="4"/>
        <v>N.A.</v>
      </c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52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</row>
    <row r="118" spans="1:81" ht="15" customHeight="1" x14ac:dyDescent="0.25">
      <c r="A118" s="46" t="s">
        <v>204</v>
      </c>
      <c r="B118" s="46" t="s">
        <v>93</v>
      </c>
      <c r="C118" s="46" t="s">
        <v>89</v>
      </c>
      <c r="D118" s="46">
        <v>151</v>
      </c>
      <c r="E118" s="46">
        <v>152</v>
      </c>
      <c r="F118" s="47">
        <v>44385</v>
      </c>
      <c r="G118" s="48" t="s">
        <v>89</v>
      </c>
      <c r="H118" s="48" t="s">
        <v>89</v>
      </c>
      <c r="I118" s="46" t="s">
        <v>89</v>
      </c>
      <c r="J118" s="46" t="s">
        <v>89</v>
      </c>
      <c r="K118" s="46" t="s">
        <v>89</v>
      </c>
      <c r="L118" s="46" t="s">
        <v>89</v>
      </c>
      <c r="M118" s="46" t="s">
        <v>89</v>
      </c>
      <c r="N118" s="46" t="s">
        <v>89</v>
      </c>
      <c r="O118" s="46" t="s">
        <v>89</v>
      </c>
      <c r="P118" s="46" t="s">
        <v>89</v>
      </c>
      <c r="Q118" s="46" t="s">
        <v>89</v>
      </c>
      <c r="R118" s="46" t="s">
        <v>89</v>
      </c>
      <c r="S118" s="46" t="s">
        <v>89</v>
      </c>
      <c r="T118" s="46" t="s">
        <v>89</v>
      </c>
      <c r="U118" s="46">
        <v>108</v>
      </c>
      <c r="V118" s="46">
        <f>W118+Z118</f>
        <v>68</v>
      </c>
      <c r="W118" s="46">
        <v>25</v>
      </c>
      <c r="X118" s="46">
        <f>W118-Y118</f>
        <v>25</v>
      </c>
      <c r="Y118" s="46">
        <v>0</v>
      </c>
      <c r="Z118" s="46">
        <f>SUM(AA118:AG118)</f>
        <v>43</v>
      </c>
      <c r="AA118" s="46">
        <v>0</v>
      </c>
      <c r="AB118" s="46">
        <v>0</v>
      </c>
      <c r="AC118" s="46">
        <v>14</v>
      </c>
      <c r="AD118" s="46">
        <v>29</v>
      </c>
      <c r="AE118" s="46">
        <v>0</v>
      </c>
      <c r="AF118" s="46">
        <v>0</v>
      </c>
      <c r="AG118" s="46">
        <v>0</v>
      </c>
      <c r="AH118" s="46">
        <f>SUM(AI118:AL118)</f>
        <v>40</v>
      </c>
      <c r="AI118" s="46">
        <v>38</v>
      </c>
      <c r="AJ118" s="46">
        <v>2</v>
      </c>
      <c r="AK118" s="46">
        <v>0</v>
      </c>
      <c r="AL118" s="46">
        <v>0</v>
      </c>
      <c r="AM118" s="49">
        <v>1</v>
      </c>
      <c r="AN118" s="47">
        <v>44451</v>
      </c>
      <c r="AO118" s="47">
        <v>44437</v>
      </c>
      <c r="AP118" s="46"/>
      <c r="AQ118" s="50">
        <f t="shared" si="4"/>
        <v>66</v>
      </c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52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</row>
    <row r="119" spans="1:81" ht="15" customHeight="1" x14ac:dyDescent="0.25">
      <c r="A119" s="46" t="s">
        <v>205</v>
      </c>
      <c r="B119" s="46" t="s">
        <v>93</v>
      </c>
      <c r="C119" s="46" t="s">
        <v>89</v>
      </c>
      <c r="D119" s="46">
        <v>152</v>
      </c>
      <c r="E119" s="46">
        <v>153</v>
      </c>
      <c r="F119" s="47">
        <v>44385</v>
      </c>
      <c r="G119" s="48" t="s">
        <v>89</v>
      </c>
      <c r="H119" s="48" t="s">
        <v>89</v>
      </c>
      <c r="I119" s="46" t="s">
        <v>89</v>
      </c>
      <c r="J119" s="46" t="s">
        <v>89</v>
      </c>
      <c r="K119" s="46" t="s">
        <v>89</v>
      </c>
      <c r="L119" s="46" t="s">
        <v>89</v>
      </c>
      <c r="M119" s="46" t="s">
        <v>89</v>
      </c>
      <c r="N119" s="46" t="s">
        <v>89</v>
      </c>
      <c r="O119" s="46" t="s">
        <v>89</v>
      </c>
      <c r="P119" s="46" t="s">
        <v>89</v>
      </c>
      <c r="Q119" s="46" t="s">
        <v>89</v>
      </c>
      <c r="R119" s="46" t="s">
        <v>89</v>
      </c>
      <c r="S119" s="46" t="s">
        <v>89</v>
      </c>
      <c r="T119" s="46" t="s">
        <v>89</v>
      </c>
      <c r="U119" s="46" t="s">
        <v>89</v>
      </c>
      <c r="V119" s="46" t="s">
        <v>89</v>
      </c>
      <c r="W119" s="46" t="s">
        <v>89</v>
      </c>
      <c r="X119" s="46" t="s">
        <v>89</v>
      </c>
      <c r="Y119" s="46" t="s">
        <v>89</v>
      </c>
      <c r="Z119" s="46" t="s">
        <v>89</v>
      </c>
      <c r="AA119" s="46" t="s">
        <v>89</v>
      </c>
      <c r="AB119" s="46" t="s">
        <v>89</v>
      </c>
      <c r="AC119" s="46" t="s">
        <v>89</v>
      </c>
      <c r="AD119" s="46" t="s">
        <v>89</v>
      </c>
      <c r="AE119" s="46" t="s">
        <v>89</v>
      </c>
      <c r="AF119" s="46" t="s">
        <v>89</v>
      </c>
      <c r="AG119" s="46" t="s">
        <v>89</v>
      </c>
      <c r="AH119" s="46" t="s">
        <v>89</v>
      </c>
      <c r="AI119" s="46" t="s">
        <v>89</v>
      </c>
      <c r="AJ119" s="46" t="s">
        <v>89</v>
      </c>
      <c r="AK119" s="46">
        <v>0</v>
      </c>
      <c r="AL119" s="46">
        <v>0</v>
      </c>
      <c r="AM119" s="49">
        <v>1</v>
      </c>
      <c r="AN119" s="46" t="s">
        <v>89</v>
      </c>
      <c r="AO119" s="46"/>
      <c r="AP119" s="46"/>
      <c r="AQ119" s="50" t="str">
        <f t="shared" si="4"/>
        <v>N.A.</v>
      </c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52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</row>
    <row r="120" spans="1:81" ht="15" customHeight="1" x14ac:dyDescent="0.25">
      <c r="A120" s="46" t="s">
        <v>206</v>
      </c>
      <c r="B120" s="46" t="s">
        <v>93</v>
      </c>
      <c r="C120" s="46" t="s">
        <v>89</v>
      </c>
      <c r="D120" s="46">
        <v>150</v>
      </c>
      <c r="E120" s="46">
        <v>151</v>
      </c>
      <c r="F120" s="47">
        <v>44385</v>
      </c>
      <c r="G120" s="48" t="s">
        <v>89</v>
      </c>
      <c r="H120" s="48" t="s">
        <v>89</v>
      </c>
      <c r="I120" s="48" t="s">
        <v>89</v>
      </c>
      <c r="J120" s="48" t="s">
        <v>89</v>
      </c>
      <c r="K120" s="48" t="s">
        <v>89</v>
      </c>
      <c r="L120" s="48" t="s">
        <v>89</v>
      </c>
      <c r="M120" s="48" t="s">
        <v>89</v>
      </c>
      <c r="N120" s="48" t="s">
        <v>89</v>
      </c>
      <c r="O120" s="48" t="s">
        <v>89</v>
      </c>
      <c r="P120" s="48" t="s">
        <v>89</v>
      </c>
      <c r="Q120" s="48" t="s">
        <v>89</v>
      </c>
      <c r="R120" s="48" t="s">
        <v>89</v>
      </c>
      <c r="S120" s="48" t="s">
        <v>89</v>
      </c>
      <c r="T120" s="48" t="s">
        <v>89</v>
      </c>
      <c r="U120" s="48" t="s">
        <v>89</v>
      </c>
      <c r="V120" s="48" t="s">
        <v>89</v>
      </c>
      <c r="W120" s="48" t="s">
        <v>89</v>
      </c>
      <c r="X120" s="48" t="s">
        <v>89</v>
      </c>
      <c r="Y120" s="48" t="s">
        <v>89</v>
      </c>
      <c r="Z120" s="48" t="s">
        <v>89</v>
      </c>
      <c r="AA120" s="48" t="s">
        <v>89</v>
      </c>
      <c r="AB120" s="48" t="s">
        <v>89</v>
      </c>
      <c r="AC120" s="48" t="s">
        <v>89</v>
      </c>
      <c r="AD120" s="48" t="s">
        <v>89</v>
      </c>
      <c r="AE120" s="48" t="s">
        <v>89</v>
      </c>
      <c r="AF120" s="48" t="s">
        <v>89</v>
      </c>
      <c r="AG120" s="48" t="s">
        <v>89</v>
      </c>
      <c r="AH120" s="48" t="s">
        <v>89</v>
      </c>
      <c r="AI120" s="48" t="s">
        <v>89</v>
      </c>
      <c r="AJ120" s="48" t="s">
        <v>89</v>
      </c>
      <c r="AK120" s="46">
        <v>0</v>
      </c>
      <c r="AL120" s="46">
        <v>0</v>
      </c>
      <c r="AM120" s="46">
        <v>0</v>
      </c>
      <c r="AN120" s="46" t="s">
        <v>89</v>
      </c>
      <c r="AO120" s="47">
        <v>44436</v>
      </c>
      <c r="AP120" s="46"/>
      <c r="AQ120" s="50" t="str">
        <f t="shared" si="4"/>
        <v>N.A.</v>
      </c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52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</row>
    <row r="121" spans="1:81" ht="15" customHeight="1" x14ac:dyDescent="0.25">
      <c r="A121" s="46" t="s">
        <v>207</v>
      </c>
      <c r="B121" s="46" t="s">
        <v>93</v>
      </c>
      <c r="C121" s="46" t="s">
        <v>89</v>
      </c>
      <c r="D121" s="46">
        <v>129</v>
      </c>
      <c r="E121" s="46">
        <v>130</v>
      </c>
      <c r="F121" s="47">
        <v>44386</v>
      </c>
      <c r="G121" s="48" t="s">
        <v>89</v>
      </c>
      <c r="H121" s="48" t="s">
        <v>89</v>
      </c>
      <c r="I121" s="46" t="s">
        <v>89</v>
      </c>
      <c r="J121" s="46" t="s">
        <v>89</v>
      </c>
      <c r="K121" s="46" t="s">
        <v>89</v>
      </c>
      <c r="L121" s="46" t="s">
        <v>89</v>
      </c>
      <c r="M121" s="46" t="s">
        <v>89</v>
      </c>
      <c r="N121" s="46" t="s">
        <v>89</v>
      </c>
      <c r="O121" s="46" t="s">
        <v>89</v>
      </c>
      <c r="P121" s="46" t="s">
        <v>89</v>
      </c>
      <c r="Q121" s="46" t="s">
        <v>89</v>
      </c>
      <c r="R121" s="46" t="s">
        <v>89</v>
      </c>
      <c r="S121" s="46" t="s">
        <v>89</v>
      </c>
      <c r="T121" s="46" t="s">
        <v>89</v>
      </c>
      <c r="U121" s="46">
        <v>45</v>
      </c>
      <c r="V121" s="46">
        <f>W121+Z121</f>
        <v>44</v>
      </c>
      <c r="W121" s="46">
        <v>43</v>
      </c>
      <c r="X121" s="46">
        <f>W121-Y121</f>
        <v>38</v>
      </c>
      <c r="Y121" s="46">
        <v>5</v>
      </c>
      <c r="Z121" s="46">
        <f>SUM(AA121:AG121)</f>
        <v>1</v>
      </c>
      <c r="AA121" s="46">
        <v>1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f>SUM(AI121:AL121)</f>
        <v>1</v>
      </c>
      <c r="AI121" s="46">
        <v>1</v>
      </c>
      <c r="AJ121" s="46">
        <v>0</v>
      </c>
      <c r="AK121" s="46">
        <v>0</v>
      </c>
      <c r="AL121" s="46">
        <v>0</v>
      </c>
      <c r="AM121" s="49">
        <v>1</v>
      </c>
      <c r="AN121" s="47">
        <v>44459</v>
      </c>
      <c r="AO121" s="47">
        <v>44436</v>
      </c>
      <c r="AP121" s="46"/>
      <c r="AQ121" s="50">
        <f t="shared" si="4"/>
        <v>73</v>
      </c>
      <c r="AR121" s="47">
        <v>44442</v>
      </c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52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</row>
    <row r="122" spans="1:81" ht="15" customHeight="1" x14ac:dyDescent="0.25">
      <c r="A122" s="46" t="s">
        <v>208</v>
      </c>
      <c r="B122" s="46" t="s">
        <v>93</v>
      </c>
      <c r="C122" s="46" t="s">
        <v>89</v>
      </c>
      <c r="D122" s="46">
        <v>146</v>
      </c>
      <c r="E122" s="46">
        <v>147</v>
      </c>
      <c r="F122" s="47">
        <v>44386</v>
      </c>
      <c r="G122" s="48" t="s">
        <v>89</v>
      </c>
      <c r="H122" s="48" t="s">
        <v>89</v>
      </c>
      <c r="I122" s="46" t="s">
        <v>89</v>
      </c>
      <c r="J122" s="46" t="s">
        <v>89</v>
      </c>
      <c r="K122" s="46" t="s">
        <v>89</v>
      </c>
      <c r="L122" s="46" t="s">
        <v>89</v>
      </c>
      <c r="M122" s="46" t="s">
        <v>89</v>
      </c>
      <c r="N122" s="46" t="s">
        <v>89</v>
      </c>
      <c r="O122" s="46" t="s">
        <v>89</v>
      </c>
      <c r="P122" s="46" t="s">
        <v>89</v>
      </c>
      <c r="Q122" s="46" t="s">
        <v>89</v>
      </c>
      <c r="R122" s="46" t="s">
        <v>89</v>
      </c>
      <c r="S122" s="46" t="s">
        <v>89</v>
      </c>
      <c r="T122" s="46" t="s">
        <v>89</v>
      </c>
      <c r="U122" s="46" t="s">
        <v>89</v>
      </c>
      <c r="V122" s="46" t="s">
        <v>89</v>
      </c>
      <c r="W122" s="46" t="s">
        <v>89</v>
      </c>
      <c r="X122" s="46" t="s">
        <v>89</v>
      </c>
      <c r="Y122" s="46" t="s">
        <v>89</v>
      </c>
      <c r="Z122" s="46" t="s">
        <v>89</v>
      </c>
      <c r="AA122" s="46" t="s">
        <v>89</v>
      </c>
      <c r="AB122" s="46" t="s">
        <v>89</v>
      </c>
      <c r="AC122" s="46" t="s">
        <v>89</v>
      </c>
      <c r="AD122" s="46" t="s">
        <v>89</v>
      </c>
      <c r="AE122" s="46" t="s">
        <v>89</v>
      </c>
      <c r="AF122" s="46" t="s">
        <v>89</v>
      </c>
      <c r="AG122" s="46" t="s">
        <v>89</v>
      </c>
      <c r="AH122" s="46" t="s">
        <v>89</v>
      </c>
      <c r="AI122" s="46" t="s">
        <v>89</v>
      </c>
      <c r="AJ122" s="46" t="s">
        <v>89</v>
      </c>
      <c r="AK122" s="46" t="s">
        <v>89</v>
      </c>
      <c r="AL122" s="46" t="s">
        <v>89</v>
      </c>
      <c r="AM122" s="46">
        <v>0</v>
      </c>
      <c r="AN122" s="46" t="s">
        <v>89</v>
      </c>
      <c r="AO122" s="46"/>
      <c r="AP122" s="46"/>
      <c r="AQ122" s="50" t="str">
        <f t="shared" si="4"/>
        <v>N.A.</v>
      </c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52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</row>
    <row r="123" spans="1:81" ht="15" customHeight="1" x14ac:dyDescent="0.25">
      <c r="A123" s="46" t="s">
        <v>209</v>
      </c>
      <c r="B123" s="46" t="s">
        <v>93</v>
      </c>
      <c r="C123" s="46" t="s">
        <v>89</v>
      </c>
      <c r="D123" s="46">
        <v>114</v>
      </c>
      <c r="E123" s="46">
        <v>115</v>
      </c>
      <c r="F123" s="47">
        <v>44386</v>
      </c>
      <c r="G123" s="48" t="s">
        <v>89</v>
      </c>
      <c r="H123" s="48" t="s">
        <v>89</v>
      </c>
      <c r="I123" s="46" t="s">
        <v>89</v>
      </c>
      <c r="J123" s="46" t="s">
        <v>89</v>
      </c>
      <c r="K123" s="46" t="s">
        <v>89</v>
      </c>
      <c r="L123" s="46" t="s">
        <v>89</v>
      </c>
      <c r="M123" s="46" t="s">
        <v>89</v>
      </c>
      <c r="N123" s="46" t="s">
        <v>89</v>
      </c>
      <c r="O123" s="46" t="s">
        <v>89</v>
      </c>
      <c r="P123" s="46" t="s">
        <v>89</v>
      </c>
      <c r="Q123" s="46" t="s">
        <v>89</v>
      </c>
      <c r="R123" s="46" t="s">
        <v>89</v>
      </c>
      <c r="S123" s="46" t="s">
        <v>89</v>
      </c>
      <c r="T123" s="46" t="s">
        <v>89</v>
      </c>
      <c r="U123" s="46" t="s">
        <v>89</v>
      </c>
      <c r="V123" s="46" t="s">
        <v>89</v>
      </c>
      <c r="W123" s="46" t="s">
        <v>89</v>
      </c>
      <c r="X123" s="46" t="s">
        <v>89</v>
      </c>
      <c r="Y123" s="46" t="s">
        <v>89</v>
      </c>
      <c r="Z123" s="46" t="s">
        <v>89</v>
      </c>
      <c r="AA123" s="46" t="s">
        <v>89</v>
      </c>
      <c r="AB123" s="46" t="s">
        <v>89</v>
      </c>
      <c r="AC123" s="46" t="s">
        <v>89</v>
      </c>
      <c r="AD123" s="46" t="s">
        <v>89</v>
      </c>
      <c r="AE123" s="46" t="s">
        <v>89</v>
      </c>
      <c r="AF123" s="46" t="s">
        <v>89</v>
      </c>
      <c r="AG123" s="46" t="s">
        <v>89</v>
      </c>
      <c r="AH123" s="46" t="s">
        <v>89</v>
      </c>
      <c r="AI123" s="46" t="s">
        <v>89</v>
      </c>
      <c r="AJ123" s="46" t="s">
        <v>89</v>
      </c>
      <c r="AK123" s="46">
        <v>0</v>
      </c>
      <c r="AL123" s="46">
        <v>0</v>
      </c>
      <c r="AM123" s="49">
        <v>1</v>
      </c>
      <c r="AN123" s="46" t="s">
        <v>89</v>
      </c>
      <c r="AO123" s="47">
        <v>44442</v>
      </c>
      <c r="AP123" s="47"/>
      <c r="AQ123" s="50" t="str">
        <f t="shared" si="4"/>
        <v>N.A.</v>
      </c>
      <c r="AR123" s="47">
        <v>44444</v>
      </c>
      <c r="AS123" s="47"/>
      <c r="AT123" s="46" t="s">
        <v>155</v>
      </c>
      <c r="AU123" s="47">
        <v>44446</v>
      </c>
      <c r="AV123" s="47"/>
      <c r="AW123" s="47"/>
      <c r="AX123" s="47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52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</row>
    <row r="124" spans="1:81" ht="15" customHeight="1" x14ac:dyDescent="0.25">
      <c r="A124" s="46" t="s">
        <v>210</v>
      </c>
      <c r="B124" s="46" t="s">
        <v>88</v>
      </c>
      <c r="C124" s="46" t="s">
        <v>89</v>
      </c>
      <c r="D124" s="46">
        <v>14</v>
      </c>
      <c r="E124" s="46">
        <v>15</v>
      </c>
      <c r="F124" s="47">
        <v>44386</v>
      </c>
      <c r="G124" s="48" t="s">
        <v>89</v>
      </c>
      <c r="H124" s="48" t="s">
        <v>89</v>
      </c>
      <c r="I124" s="46" t="s">
        <v>89</v>
      </c>
      <c r="J124" s="46" t="s">
        <v>89</v>
      </c>
      <c r="K124" s="46" t="s">
        <v>89</v>
      </c>
      <c r="L124" s="46" t="s">
        <v>89</v>
      </c>
      <c r="M124" s="46" t="s">
        <v>89</v>
      </c>
      <c r="N124" s="46" t="s">
        <v>89</v>
      </c>
      <c r="O124" s="46" t="s">
        <v>89</v>
      </c>
      <c r="P124" s="46" t="s">
        <v>89</v>
      </c>
      <c r="Q124" s="46" t="s">
        <v>89</v>
      </c>
      <c r="R124" s="46" t="s">
        <v>89</v>
      </c>
      <c r="S124" s="46" t="s">
        <v>89</v>
      </c>
      <c r="T124" s="46" t="s">
        <v>89</v>
      </c>
      <c r="U124" s="46">
        <v>68</v>
      </c>
      <c r="V124" s="46">
        <f>W124+Z124</f>
        <v>68</v>
      </c>
      <c r="W124" s="46">
        <v>68</v>
      </c>
      <c r="X124" s="46">
        <f>W124-Y124</f>
        <v>68</v>
      </c>
      <c r="Y124" s="46">
        <v>0</v>
      </c>
      <c r="Z124" s="46">
        <f t="shared" ref="Z124:Z125" si="62">SUM(AA124:AG124)</f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f t="shared" ref="AH124:AH125" si="63">SUM(AI124:AL124)</f>
        <v>0</v>
      </c>
      <c r="AI124" s="46">
        <v>0</v>
      </c>
      <c r="AJ124" s="46">
        <v>0</v>
      </c>
      <c r="AK124" s="46">
        <v>0</v>
      </c>
      <c r="AL124" s="46">
        <v>0</v>
      </c>
      <c r="AM124" s="49">
        <v>1</v>
      </c>
      <c r="AN124" s="47">
        <v>44446</v>
      </c>
      <c r="AO124" s="47">
        <v>44435</v>
      </c>
      <c r="AP124" s="47"/>
      <c r="AQ124" s="50">
        <f t="shared" si="4"/>
        <v>60</v>
      </c>
      <c r="AR124" s="47">
        <v>44436</v>
      </c>
      <c r="AS124" s="47"/>
      <c r="AT124" s="46" t="s">
        <v>155</v>
      </c>
      <c r="AU124" s="47">
        <v>44438</v>
      </c>
      <c r="AV124" s="47"/>
      <c r="AW124" s="46" t="s">
        <v>211</v>
      </c>
      <c r="AX124" s="47">
        <v>44452</v>
      </c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52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</row>
    <row r="125" spans="1:81" ht="15" customHeight="1" x14ac:dyDescent="0.25">
      <c r="A125" s="46" t="s">
        <v>212</v>
      </c>
      <c r="B125" s="46" t="s">
        <v>93</v>
      </c>
      <c r="C125" s="46" t="s">
        <v>89</v>
      </c>
      <c r="D125" s="46">
        <v>67</v>
      </c>
      <c r="E125" s="46">
        <v>68</v>
      </c>
      <c r="F125" s="47">
        <v>44387</v>
      </c>
      <c r="G125" s="48" t="s">
        <v>89</v>
      </c>
      <c r="H125" s="48" t="s">
        <v>89</v>
      </c>
      <c r="I125" s="46" t="s">
        <v>89</v>
      </c>
      <c r="J125" s="46" t="s">
        <v>89</v>
      </c>
      <c r="K125" s="46" t="s">
        <v>89</v>
      </c>
      <c r="L125" s="46" t="s">
        <v>89</v>
      </c>
      <c r="M125" s="46" t="s">
        <v>89</v>
      </c>
      <c r="N125" s="46" t="s">
        <v>89</v>
      </c>
      <c r="O125" s="46" t="s">
        <v>89</v>
      </c>
      <c r="P125" s="46" t="s">
        <v>89</v>
      </c>
      <c r="Q125" s="46" t="s">
        <v>89</v>
      </c>
      <c r="R125" s="46" t="s">
        <v>89</v>
      </c>
      <c r="S125" s="46" t="s">
        <v>89</v>
      </c>
      <c r="T125" s="46" t="s">
        <v>89</v>
      </c>
      <c r="U125" s="46" t="s">
        <v>89</v>
      </c>
      <c r="V125" s="46" t="s">
        <v>89</v>
      </c>
      <c r="W125" s="46" t="s">
        <v>89</v>
      </c>
      <c r="X125" s="46" t="s">
        <v>89</v>
      </c>
      <c r="Y125" s="46" t="s">
        <v>89</v>
      </c>
      <c r="Z125" s="46">
        <f t="shared" si="62"/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f t="shared" si="63"/>
        <v>0</v>
      </c>
      <c r="AI125" s="46" t="s">
        <v>89</v>
      </c>
      <c r="AJ125" s="46" t="s">
        <v>89</v>
      </c>
      <c r="AK125" s="46">
        <v>0</v>
      </c>
      <c r="AL125" s="46">
        <v>0</v>
      </c>
      <c r="AM125" s="49">
        <v>1</v>
      </c>
      <c r="AN125" s="46" t="s">
        <v>89</v>
      </c>
      <c r="AO125" s="46"/>
      <c r="AP125" s="46"/>
      <c r="AQ125" s="50" t="str">
        <f t="shared" si="4"/>
        <v>N.A.</v>
      </c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52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</row>
    <row r="126" spans="1:81" ht="15" customHeight="1" x14ac:dyDescent="0.25">
      <c r="A126" s="46" t="s">
        <v>213</v>
      </c>
      <c r="B126" s="46" t="s">
        <v>93</v>
      </c>
      <c r="C126" s="46" t="s">
        <v>89</v>
      </c>
      <c r="D126" s="46">
        <v>76</v>
      </c>
      <c r="E126" s="46">
        <v>77</v>
      </c>
      <c r="F126" s="47">
        <v>44387</v>
      </c>
      <c r="G126" s="48" t="s">
        <v>89</v>
      </c>
      <c r="H126" s="48" t="s">
        <v>89</v>
      </c>
      <c r="I126" s="46" t="s">
        <v>89</v>
      </c>
      <c r="J126" s="46" t="s">
        <v>89</v>
      </c>
      <c r="K126" s="46" t="s">
        <v>89</v>
      </c>
      <c r="L126" s="46" t="s">
        <v>89</v>
      </c>
      <c r="M126" s="46" t="s">
        <v>89</v>
      </c>
      <c r="N126" s="46" t="s">
        <v>89</v>
      </c>
      <c r="O126" s="46" t="s">
        <v>89</v>
      </c>
      <c r="P126" s="46" t="s">
        <v>89</v>
      </c>
      <c r="Q126" s="46" t="s">
        <v>89</v>
      </c>
      <c r="R126" s="46" t="s">
        <v>89</v>
      </c>
      <c r="S126" s="46" t="s">
        <v>89</v>
      </c>
      <c r="T126" s="46" t="s">
        <v>89</v>
      </c>
      <c r="U126" s="46" t="s">
        <v>89</v>
      </c>
      <c r="V126" s="46" t="s">
        <v>89</v>
      </c>
      <c r="W126" s="46" t="s">
        <v>89</v>
      </c>
      <c r="X126" s="46" t="s">
        <v>89</v>
      </c>
      <c r="Y126" s="46" t="s">
        <v>89</v>
      </c>
      <c r="Z126" s="46" t="s">
        <v>89</v>
      </c>
      <c r="AA126" s="46" t="s">
        <v>89</v>
      </c>
      <c r="AB126" s="46" t="s">
        <v>89</v>
      </c>
      <c r="AC126" s="46" t="s">
        <v>89</v>
      </c>
      <c r="AD126" s="46" t="s">
        <v>89</v>
      </c>
      <c r="AE126" s="46" t="s">
        <v>89</v>
      </c>
      <c r="AF126" s="46" t="s">
        <v>89</v>
      </c>
      <c r="AG126" s="46" t="s">
        <v>89</v>
      </c>
      <c r="AH126" s="46" t="s">
        <v>89</v>
      </c>
      <c r="AI126" s="46" t="s">
        <v>89</v>
      </c>
      <c r="AJ126" s="46" t="s">
        <v>89</v>
      </c>
      <c r="AK126" s="46" t="s">
        <v>89</v>
      </c>
      <c r="AL126" s="46" t="s">
        <v>89</v>
      </c>
      <c r="AM126" s="46">
        <v>0</v>
      </c>
      <c r="AN126" s="46" t="s">
        <v>89</v>
      </c>
      <c r="AO126" s="46"/>
      <c r="AP126" s="46"/>
      <c r="AQ126" s="50" t="str">
        <f t="shared" si="4"/>
        <v>N.A.</v>
      </c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52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</row>
    <row r="127" spans="1:81" ht="15" customHeight="1" x14ac:dyDescent="0.25">
      <c r="A127" s="46" t="s">
        <v>214</v>
      </c>
      <c r="B127" s="46" t="s">
        <v>93</v>
      </c>
      <c r="C127" s="46" t="s">
        <v>89</v>
      </c>
      <c r="D127" s="46">
        <v>153</v>
      </c>
      <c r="E127" s="46">
        <v>154</v>
      </c>
      <c r="F127" s="47">
        <v>44387</v>
      </c>
      <c r="G127" s="48" t="s">
        <v>89</v>
      </c>
      <c r="H127" s="48" t="s">
        <v>89</v>
      </c>
      <c r="I127" s="46" t="s">
        <v>89</v>
      </c>
      <c r="J127" s="46" t="s">
        <v>89</v>
      </c>
      <c r="K127" s="46" t="s">
        <v>89</v>
      </c>
      <c r="L127" s="46" t="s">
        <v>89</v>
      </c>
      <c r="M127" s="46" t="s">
        <v>89</v>
      </c>
      <c r="N127" s="46" t="s">
        <v>89</v>
      </c>
      <c r="O127" s="46" t="s">
        <v>89</v>
      </c>
      <c r="P127" s="46" t="s">
        <v>89</v>
      </c>
      <c r="Q127" s="46" t="s">
        <v>89</v>
      </c>
      <c r="R127" s="46" t="s">
        <v>89</v>
      </c>
      <c r="S127" s="46" t="s">
        <v>89</v>
      </c>
      <c r="T127" s="46" t="s">
        <v>89</v>
      </c>
      <c r="U127" s="46" t="s">
        <v>89</v>
      </c>
      <c r="V127" s="46" t="s">
        <v>89</v>
      </c>
      <c r="W127" s="46" t="s">
        <v>89</v>
      </c>
      <c r="X127" s="46" t="s">
        <v>89</v>
      </c>
      <c r="Y127" s="46" t="s">
        <v>89</v>
      </c>
      <c r="Z127" s="46" t="s">
        <v>89</v>
      </c>
      <c r="AA127" s="46" t="s">
        <v>89</v>
      </c>
      <c r="AB127" s="46" t="s">
        <v>89</v>
      </c>
      <c r="AC127" s="46" t="s">
        <v>89</v>
      </c>
      <c r="AD127" s="46" t="s">
        <v>89</v>
      </c>
      <c r="AE127" s="46" t="s">
        <v>89</v>
      </c>
      <c r="AF127" s="46" t="s">
        <v>89</v>
      </c>
      <c r="AG127" s="46" t="s">
        <v>89</v>
      </c>
      <c r="AH127" s="46" t="s">
        <v>89</v>
      </c>
      <c r="AI127" s="46" t="s">
        <v>89</v>
      </c>
      <c r="AJ127" s="46" t="s">
        <v>89</v>
      </c>
      <c r="AK127" s="46" t="s">
        <v>89</v>
      </c>
      <c r="AL127" s="46" t="s">
        <v>89</v>
      </c>
      <c r="AM127" s="46">
        <v>0</v>
      </c>
      <c r="AN127" s="46" t="s">
        <v>89</v>
      </c>
      <c r="AO127" s="46"/>
      <c r="AP127" s="46"/>
      <c r="AQ127" s="50" t="str">
        <f t="shared" si="4"/>
        <v>N.A.</v>
      </c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52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</row>
    <row r="128" spans="1:81" ht="15" customHeight="1" x14ac:dyDescent="0.25">
      <c r="A128" s="46" t="s">
        <v>215</v>
      </c>
      <c r="B128" s="46" t="s">
        <v>93</v>
      </c>
      <c r="C128" s="46" t="s">
        <v>89</v>
      </c>
      <c r="D128" s="46">
        <v>19</v>
      </c>
      <c r="E128" s="46">
        <v>20</v>
      </c>
      <c r="F128" s="47">
        <v>44387</v>
      </c>
      <c r="G128" s="48" t="s">
        <v>89</v>
      </c>
      <c r="H128" s="48" t="s">
        <v>89</v>
      </c>
      <c r="I128" s="46" t="s">
        <v>89</v>
      </c>
      <c r="J128" s="46" t="s">
        <v>89</v>
      </c>
      <c r="K128" s="46" t="s">
        <v>89</v>
      </c>
      <c r="L128" s="46" t="s">
        <v>89</v>
      </c>
      <c r="M128" s="46" t="s">
        <v>89</v>
      </c>
      <c r="N128" s="46" t="s">
        <v>89</v>
      </c>
      <c r="O128" s="46" t="s">
        <v>89</v>
      </c>
      <c r="P128" s="46" t="s">
        <v>89</v>
      </c>
      <c r="Q128" s="46" t="s">
        <v>89</v>
      </c>
      <c r="R128" s="46" t="s">
        <v>89</v>
      </c>
      <c r="S128" s="46" t="s">
        <v>89</v>
      </c>
      <c r="T128" s="46" t="s">
        <v>89</v>
      </c>
      <c r="U128" s="46" t="s">
        <v>89</v>
      </c>
      <c r="V128" s="46" t="s">
        <v>89</v>
      </c>
      <c r="W128" s="46" t="s">
        <v>89</v>
      </c>
      <c r="X128" s="46" t="s">
        <v>89</v>
      </c>
      <c r="Y128" s="46" t="s">
        <v>89</v>
      </c>
      <c r="Z128" s="46" t="s">
        <v>89</v>
      </c>
      <c r="AA128" s="46" t="s">
        <v>89</v>
      </c>
      <c r="AB128" s="46" t="s">
        <v>89</v>
      </c>
      <c r="AC128" s="46" t="s">
        <v>89</v>
      </c>
      <c r="AD128" s="46" t="s">
        <v>89</v>
      </c>
      <c r="AE128" s="46" t="s">
        <v>89</v>
      </c>
      <c r="AF128" s="46" t="s">
        <v>89</v>
      </c>
      <c r="AG128" s="46" t="s">
        <v>89</v>
      </c>
      <c r="AH128" s="46" t="s">
        <v>89</v>
      </c>
      <c r="AI128" s="46" t="s">
        <v>89</v>
      </c>
      <c r="AJ128" s="46" t="s">
        <v>89</v>
      </c>
      <c r="AK128" s="46" t="s">
        <v>89</v>
      </c>
      <c r="AL128" s="46" t="s">
        <v>89</v>
      </c>
      <c r="AM128" s="46">
        <v>0</v>
      </c>
      <c r="AN128" s="46" t="s">
        <v>89</v>
      </c>
      <c r="AO128" s="46"/>
      <c r="AP128" s="46"/>
      <c r="AQ128" s="50" t="str">
        <f t="shared" si="4"/>
        <v>N.A.</v>
      </c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52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</row>
    <row r="129" spans="1:81" ht="15" customHeight="1" x14ac:dyDescent="0.25">
      <c r="A129" s="46" t="s">
        <v>216</v>
      </c>
      <c r="B129" s="46" t="s">
        <v>88</v>
      </c>
      <c r="C129" s="46" t="s">
        <v>89</v>
      </c>
      <c r="D129" s="46">
        <v>11</v>
      </c>
      <c r="E129" s="46">
        <v>12</v>
      </c>
      <c r="F129" s="47">
        <v>44387</v>
      </c>
      <c r="G129" s="48" t="s">
        <v>89</v>
      </c>
      <c r="H129" s="48" t="s">
        <v>89</v>
      </c>
      <c r="I129" s="46" t="s">
        <v>89</v>
      </c>
      <c r="J129" s="46" t="s">
        <v>89</v>
      </c>
      <c r="K129" s="46" t="s">
        <v>89</v>
      </c>
      <c r="L129" s="46" t="s">
        <v>89</v>
      </c>
      <c r="M129" s="46" t="s">
        <v>89</v>
      </c>
      <c r="N129" s="46" t="s">
        <v>89</v>
      </c>
      <c r="O129" s="46" t="s">
        <v>89</v>
      </c>
      <c r="P129" s="46" t="s">
        <v>89</v>
      </c>
      <c r="Q129" s="46" t="s">
        <v>89</v>
      </c>
      <c r="R129" s="46" t="s">
        <v>89</v>
      </c>
      <c r="S129" s="46" t="s">
        <v>89</v>
      </c>
      <c r="T129" s="46" t="s">
        <v>89</v>
      </c>
      <c r="U129" s="46" t="s">
        <v>89</v>
      </c>
      <c r="V129" s="46" t="s">
        <v>89</v>
      </c>
      <c r="W129" s="46" t="s">
        <v>89</v>
      </c>
      <c r="X129" s="46" t="s">
        <v>89</v>
      </c>
      <c r="Y129" s="46" t="s">
        <v>89</v>
      </c>
      <c r="Z129" s="46" t="s">
        <v>89</v>
      </c>
      <c r="AA129" s="46" t="s">
        <v>89</v>
      </c>
      <c r="AB129" s="46" t="s">
        <v>89</v>
      </c>
      <c r="AC129" s="46" t="s">
        <v>89</v>
      </c>
      <c r="AD129" s="46" t="s">
        <v>89</v>
      </c>
      <c r="AE129" s="46" t="s">
        <v>89</v>
      </c>
      <c r="AF129" s="46" t="s">
        <v>89</v>
      </c>
      <c r="AG129" s="46" t="s">
        <v>89</v>
      </c>
      <c r="AH129" s="46" t="s">
        <v>89</v>
      </c>
      <c r="AI129" s="46" t="s">
        <v>89</v>
      </c>
      <c r="AJ129" s="46" t="s">
        <v>89</v>
      </c>
      <c r="AK129" s="46" t="s">
        <v>89</v>
      </c>
      <c r="AL129" s="46" t="s">
        <v>89</v>
      </c>
      <c r="AM129" s="46">
        <v>0</v>
      </c>
      <c r="AN129" s="46" t="s">
        <v>89</v>
      </c>
      <c r="AO129" s="46"/>
      <c r="AP129" s="46"/>
      <c r="AQ129" s="50" t="str">
        <f t="shared" si="4"/>
        <v>N.A.</v>
      </c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52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</row>
    <row r="130" spans="1:81" ht="15" customHeight="1" x14ac:dyDescent="0.25">
      <c r="A130" s="46" t="s">
        <v>217</v>
      </c>
      <c r="B130" s="46" t="s">
        <v>88</v>
      </c>
      <c r="C130" s="46" t="s">
        <v>89</v>
      </c>
      <c r="D130" s="46">
        <v>16</v>
      </c>
      <c r="E130" s="46">
        <v>17</v>
      </c>
      <c r="F130" s="47">
        <v>44387</v>
      </c>
      <c r="G130" s="48" t="s">
        <v>89</v>
      </c>
      <c r="H130" s="48" t="s">
        <v>89</v>
      </c>
      <c r="I130" s="46" t="s">
        <v>89</v>
      </c>
      <c r="J130" s="46" t="s">
        <v>89</v>
      </c>
      <c r="K130" s="46" t="s">
        <v>89</v>
      </c>
      <c r="L130" s="46" t="s">
        <v>89</v>
      </c>
      <c r="M130" s="46" t="s">
        <v>89</v>
      </c>
      <c r="N130" s="46" t="s">
        <v>89</v>
      </c>
      <c r="O130" s="46" t="s">
        <v>89</v>
      </c>
      <c r="P130" s="46" t="s">
        <v>89</v>
      </c>
      <c r="Q130" s="46" t="s">
        <v>89</v>
      </c>
      <c r="R130" s="46" t="s">
        <v>89</v>
      </c>
      <c r="S130" s="46" t="s">
        <v>89</v>
      </c>
      <c r="T130" s="46" t="s">
        <v>89</v>
      </c>
      <c r="U130" s="46">
        <v>92</v>
      </c>
      <c r="V130" s="46">
        <f>W130+Z130</f>
        <v>85</v>
      </c>
      <c r="W130" s="46">
        <v>80</v>
      </c>
      <c r="X130" s="46">
        <f>W130-Y130</f>
        <v>80</v>
      </c>
      <c r="Y130" s="46">
        <v>0</v>
      </c>
      <c r="Z130" s="46">
        <f>SUM(AA130:AG130)</f>
        <v>5</v>
      </c>
      <c r="AA130" s="46">
        <v>0</v>
      </c>
      <c r="AB130" s="46">
        <v>0</v>
      </c>
      <c r="AC130" s="46">
        <v>3</v>
      </c>
      <c r="AD130" s="46">
        <v>0</v>
      </c>
      <c r="AE130" s="46">
        <v>0</v>
      </c>
      <c r="AF130" s="46">
        <v>1</v>
      </c>
      <c r="AG130" s="46">
        <v>1</v>
      </c>
      <c r="AH130" s="46">
        <f>SUM(AI130:AL130)</f>
        <v>7</v>
      </c>
      <c r="AI130" s="46">
        <v>6</v>
      </c>
      <c r="AJ130" s="46">
        <v>1</v>
      </c>
      <c r="AK130" s="46">
        <v>0</v>
      </c>
      <c r="AL130" s="46">
        <v>0</v>
      </c>
      <c r="AM130" s="49">
        <v>1</v>
      </c>
      <c r="AN130" s="46" t="s">
        <v>89</v>
      </c>
      <c r="AO130" s="46"/>
      <c r="AP130" s="46"/>
      <c r="AQ130" s="50" t="str">
        <f t="shared" si="4"/>
        <v>N.A.</v>
      </c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52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</row>
    <row r="131" spans="1:81" ht="15" customHeight="1" x14ac:dyDescent="0.25">
      <c r="A131" s="46" t="s">
        <v>218</v>
      </c>
      <c r="B131" s="46" t="s">
        <v>88</v>
      </c>
      <c r="C131" s="46" t="s">
        <v>89</v>
      </c>
      <c r="D131" s="46">
        <v>7</v>
      </c>
      <c r="E131" s="46">
        <v>8</v>
      </c>
      <c r="F131" s="47">
        <v>44387</v>
      </c>
      <c r="G131" s="48" t="s">
        <v>89</v>
      </c>
      <c r="H131" s="48" t="s">
        <v>89</v>
      </c>
      <c r="I131" s="46" t="s">
        <v>89</v>
      </c>
      <c r="J131" s="46" t="s">
        <v>89</v>
      </c>
      <c r="K131" s="46" t="s">
        <v>89</v>
      </c>
      <c r="L131" s="46" t="s">
        <v>89</v>
      </c>
      <c r="M131" s="46" t="s">
        <v>89</v>
      </c>
      <c r="N131" s="46" t="s">
        <v>89</v>
      </c>
      <c r="O131" s="46" t="s">
        <v>89</v>
      </c>
      <c r="P131" s="46" t="s">
        <v>89</v>
      </c>
      <c r="Q131" s="46" t="s">
        <v>89</v>
      </c>
      <c r="R131" s="46" t="s">
        <v>89</v>
      </c>
      <c r="S131" s="46" t="s">
        <v>89</v>
      </c>
      <c r="T131" s="46" t="s">
        <v>89</v>
      </c>
      <c r="U131" s="46" t="s">
        <v>89</v>
      </c>
      <c r="V131" s="46" t="s">
        <v>89</v>
      </c>
      <c r="W131" s="46" t="s">
        <v>89</v>
      </c>
      <c r="X131" s="46" t="s">
        <v>89</v>
      </c>
      <c r="Y131" s="46" t="s">
        <v>89</v>
      </c>
      <c r="Z131" s="46" t="s">
        <v>89</v>
      </c>
      <c r="AA131" s="46" t="s">
        <v>89</v>
      </c>
      <c r="AB131" s="46" t="s">
        <v>89</v>
      </c>
      <c r="AC131" s="46" t="s">
        <v>89</v>
      </c>
      <c r="AD131" s="46" t="s">
        <v>89</v>
      </c>
      <c r="AE131" s="46" t="s">
        <v>89</v>
      </c>
      <c r="AF131" s="46" t="s">
        <v>89</v>
      </c>
      <c r="AG131" s="46" t="s">
        <v>89</v>
      </c>
      <c r="AH131" s="46" t="s">
        <v>89</v>
      </c>
      <c r="AI131" s="46" t="s">
        <v>89</v>
      </c>
      <c r="AJ131" s="46" t="s">
        <v>89</v>
      </c>
      <c r="AK131" s="46" t="s">
        <v>89</v>
      </c>
      <c r="AL131" s="46" t="s">
        <v>89</v>
      </c>
      <c r="AM131" s="49">
        <v>1</v>
      </c>
      <c r="AN131" s="46" t="s">
        <v>89</v>
      </c>
      <c r="AO131" s="46"/>
      <c r="AP131" s="46"/>
      <c r="AQ131" s="50" t="str">
        <f t="shared" si="4"/>
        <v>N.A.</v>
      </c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52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</row>
    <row r="132" spans="1:81" ht="15" customHeight="1" x14ac:dyDescent="0.25">
      <c r="A132" s="46" t="s">
        <v>219</v>
      </c>
      <c r="B132" s="46" t="s">
        <v>93</v>
      </c>
      <c r="C132" s="46" t="s">
        <v>89</v>
      </c>
      <c r="D132" s="46">
        <v>37</v>
      </c>
      <c r="E132" s="46">
        <v>38</v>
      </c>
      <c r="F132" s="47">
        <v>44388</v>
      </c>
      <c r="G132" s="48" t="s">
        <v>89</v>
      </c>
      <c r="H132" s="48" t="s">
        <v>89</v>
      </c>
      <c r="I132" s="46" t="s">
        <v>89</v>
      </c>
      <c r="J132" s="46" t="s">
        <v>89</v>
      </c>
      <c r="K132" s="46" t="s">
        <v>89</v>
      </c>
      <c r="L132" s="46" t="s">
        <v>89</v>
      </c>
      <c r="M132" s="46" t="s">
        <v>89</v>
      </c>
      <c r="N132" s="46" t="s">
        <v>89</v>
      </c>
      <c r="O132" s="46" t="s">
        <v>89</v>
      </c>
      <c r="P132" s="46" t="s">
        <v>89</v>
      </c>
      <c r="Q132" s="46" t="s">
        <v>89</v>
      </c>
      <c r="R132" s="46" t="s">
        <v>89</v>
      </c>
      <c r="S132" s="46" t="s">
        <v>89</v>
      </c>
      <c r="T132" s="46" t="s">
        <v>89</v>
      </c>
      <c r="U132" s="46" t="s">
        <v>89</v>
      </c>
      <c r="V132" s="46" t="s">
        <v>89</v>
      </c>
      <c r="W132" s="46" t="s">
        <v>89</v>
      </c>
      <c r="X132" s="46" t="s">
        <v>89</v>
      </c>
      <c r="Y132" s="46" t="s">
        <v>89</v>
      </c>
      <c r="Z132" s="46" t="s">
        <v>89</v>
      </c>
      <c r="AA132" s="46" t="s">
        <v>89</v>
      </c>
      <c r="AB132" s="46" t="s">
        <v>89</v>
      </c>
      <c r="AC132" s="46" t="s">
        <v>89</v>
      </c>
      <c r="AD132" s="46" t="s">
        <v>89</v>
      </c>
      <c r="AE132" s="46" t="s">
        <v>89</v>
      </c>
      <c r="AF132" s="46" t="s">
        <v>89</v>
      </c>
      <c r="AG132" s="46" t="s">
        <v>89</v>
      </c>
      <c r="AH132" s="46" t="s">
        <v>89</v>
      </c>
      <c r="AI132" s="46" t="s">
        <v>89</v>
      </c>
      <c r="AJ132" s="46" t="s">
        <v>89</v>
      </c>
      <c r="AK132" s="46" t="s">
        <v>89</v>
      </c>
      <c r="AL132" s="46" t="s">
        <v>89</v>
      </c>
      <c r="AM132" s="49">
        <v>1</v>
      </c>
      <c r="AN132" s="46" t="s">
        <v>89</v>
      </c>
      <c r="AO132" s="47">
        <v>44446</v>
      </c>
      <c r="AP132" s="46"/>
      <c r="AQ132" s="50" t="str">
        <f t="shared" si="4"/>
        <v>N.A.</v>
      </c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52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</row>
    <row r="133" spans="1:81" ht="15" customHeight="1" x14ac:dyDescent="0.25">
      <c r="A133" s="46" t="s">
        <v>220</v>
      </c>
      <c r="B133" s="46" t="s">
        <v>93</v>
      </c>
      <c r="C133" s="46" t="s">
        <v>89</v>
      </c>
      <c r="D133" s="46">
        <v>15</v>
      </c>
      <c r="E133" s="46">
        <v>16</v>
      </c>
      <c r="F133" s="47">
        <v>44388</v>
      </c>
      <c r="G133" s="48" t="s">
        <v>89</v>
      </c>
      <c r="H133" s="48" t="s">
        <v>89</v>
      </c>
      <c r="I133" s="46" t="s">
        <v>89</v>
      </c>
      <c r="J133" s="46" t="s">
        <v>89</v>
      </c>
      <c r="K133" s="46" t="s">
        <v>89</v>
      </c>
      <c r="L133" s="46" t="s">
        <v>89</v>
      </c>
      <c r="M133" s="46" t="s">
        <v>89</v>
      </c>
      <c r="N133" s="46" t="s">
        <v>89</v>
      </c>
      <c r="O133" s="46" t="s">
        <v>89</v>
      </c>
      <c r="P133" s="46" t="s">
        <v>89</v>
      </c>
      <c r="Q133" s="46" t="s">
        <v>89</v>
      </c>
      <c r="R133" s="46" t="s">
        <v>89</v>
      </c>
      <c r="S133" s="46" t="s">
        <v>89</v>
      </c>
      <c r="T133" s="46" t="s">
        <v>89</v>
      </c>
      <c r="U133" s="46">
        <v>82</v>
      </c>
      <c r="V133" s="46">
        <f>W133+Z133</f>
        <v>79</v>
      </c>
      <c r="W133" s="46">
        <v>79</v>
      </c>
      <c r="X133" s="46">
        <f>W133-Y133</f>
        <v>79</v>
      </c>
      <c r="Y133" s="46">
        <v>0</v>
      </c>
      <c r="Z133" s="46">
        <f>SUM(AA133:AG133)</f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f>SUM(AI133:AL133)</f>
        <v>3</v>
      </c>
      <c r="AI133" s="46">
        <v>3</v>
      </c>
      <c r="AJ133" s="46">
        <v>0</v>
      </c>
      <c r="AK133" s="46">
        <v>0</v>
      </c>
      <c r="AL133" s="46">
        <v>0</v>
      </c>
      <c r="AM133" s="49">
        <v>1</v>
      </c>
      <c r="AN133" s="47">
        <v>44458</v>
      </c>
      <c r="AO133" s="47">
        <v>44443</v>
      </c>
      <c r="AP133" s="46"/>
      <c r="AQ133" s="50">
        <f t="shared" si="4"/>
        <v>70</v>
      </c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52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</row>
    <row r="134" spans="1:81" ht="15" customHeight="1" x14ac:dyDescent="0.25">
      <c r="A134" s="46" t="s">
        <v>221</v>
      </c>
      <c r="B134" s="46" t="s">
        <v>88</v>
      </c>
      <c r="C134" s="46" t="s">
        <v>89</v>
      </c>
      <c r="D134" s="46">
        <v>45</v>
      </c>
      <c r="E134" s="46">
        <v>46</v>
      </c>
      <c r="F134" s="47">
        <v>44388</v>
      </c>
      <c r="G134" s="48" t="s">
        <v>89</v>
      </c>
      <c r="H134" s="48" t="s">
        <v>89</v>
      </c>
      <c r="I134" s="46" t="s">
        <v>89</v>
      </c>
      <c r="J134" s="46" t="s">
        <v>89</v>
      </c>
      <c r="K134" s="46" t="s">
        <v>89</v>
      </c>
      <c r="L134" s="46" t="s">
        <v>89</v>
      </c>
      <c r="M134" s="46" t="s">
        <v>89</v>
      </c>
      <c r="N134" s="46" t="s">
        <v>89</v>
      </c>
      <c r="O134" s="46" t="s">
        <v>89</v>
      </c>
      <c r="P134" s="46" t="s">
        <v>89</v>
      </c>
      <c r="Q134" s="46" t="s">
        <v>89</v>
      </c>
      <c r="R134" s="46" t="s">
        <v>89</v>
      </c>
      <c r="S134" s="46" t="s">
        <v>89</v>
      </c>
      <c r="T134" s="46" t="s">
        <v>89</v>
      </c>
      <c r="U134" s="46" t="s">
        <v>89</v>
      </c>
      <c r="V134" s="46" t="s">
        <v>89</v>
      </c>
      <c r="W134" s="46" t="s">
        <v>89</v>
      </c>
      <c r="X134" s="46" t="s">
        <v>89</v>
      </c>
      <c r="Y134" s="46" t="s">
        <v>89</v>
      </c>
      <c r="Z134" s="46" t="s">
        <v>89</v>
      </c>
      <c r="AA134" s="46" t="s">
        <v>89</v>
      </c>
      <c r="AB134" s="46" t="s">
        <v>89</v>
      </c>
      <c r="AC134" s="46" t="s">
        <v>89</v>
      </c>
      <c r="AD134" s="46" t="s">
        <v>89</v>
      </c>
      <c r="AE134" s="46" t="s">
        <v>89</v>
      </c>
      <c r="AF134" s="46" t="s">
        <v>89</v>
      </c>
      <c r="AG134" s="46" t="s">
        <v>89</v>
      </c>
      <c r="AH134" s="46" t="s">
        <v>89</v>
      </c>
      <c r="AI134" s="46" t="s">
        <v>89</v>
      </c>
      <c r="AJ134" s="46" t="s">
        <v>89</v>
      </c>
      <c r="AK134" s="46" t="s">
        <v>89</v>
      </c>
      <c r="AL134" s="46" t="s">
        <v>89</v>
      </c>
      <c r="AM134" s="49">
        <v>1</v>
      </c>
      <c r="AN134" s="46" t="s">
        <v>89</v>
      </c>
      <c r="AO134" s="47"/>
      <c r="AP134" s="46"/>
      <c r="AQ134" s="50" t="str">
        <f t="shared" si="4"/>
        <v>N.A.</v>
      </c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52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</row>
    <row r="135" spans="1:81" ht="15" customHeight="1" x14ac:dyDescent="0.25">
      <c r="A135" s="46" t="s">
        <v>222</v>
      </c>
      <c r="B135" s="46" t="s">
        <v>88</v>
      </c>
      <c r="C135" s="46" t="s">
        <v>89</v>
      </c>
      <c r="D135" s="46">
        <v>10</v>
      </c>
      <c r="E135" s="46">
        <v>11</v>
      </c>
      <c r="F135" s="47">
        <v>44388</v>
      </c>
      <c r="G135" s="48" t="s">
        <v>89</v>
      </c>
      <c r="H135" s="48" t="s">
        <v>89</v>
      </c>
      <c r="I135" s="46" t="s">
        <v>89</v>
      </c>
      <c r="J135" s="46" t="s">
        <v>89</v>
      </c>
      <c r="K135" s="46" t="s">
        <v>89</v>
      </c>
      <c r="L135" s="46" t="s">
        <v>89</v>
      </c>
      <c r="M135" s="46" t="s">
        <v>89</v>
      </c>
      <c r="N135" s="46" t="s">
        <v>89</v>
      </c>
      <c r="O135" s="46" t="s">
        <v>89</v>
      </c>
      <c r="P135" s="46" t="s">
        <v>89</v>
      </c>
      <c r="Q135" s="46" t="s">
        <v>89</v>
      </c>
      <c r="R135" s="46" t="s">
        <v>89</v>
      </c>
      <c r="S135" s="46" t="s">
        <v>89</v>
      </c>
      <c r="T135" s="46" t="s">
        <v>89</v>
      </c>
      <c r="U135" s="46">
        <v>84</v>
      </c>
      <c r="V135" s="46">
        <f t="shared" ref="V135:V138" si="64">W135+Z135</f>
        <v>83</v>
      </c>
      <c r="W135" s="46">
        <v>83</v>
      </c>
      <c r="X135" s="46">
        <f t="shared" ref="X135:X138" si="65">W135-Y135</f>
        <v>83</v>
      </c>
      <c r="Y135" s="46">
        <v>0</v>
      </c>
      <c r="Z135" s="46">
        <f t="shared" ref="Z135:Z138" si="66">SUM(AA135:AG135)</f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f t="shared" ref="AH135:AH138" si="67">SUM(AI135:AL135)</f>
        <v>1</v>
      </c>
      <c r="AI135" s="46">
        <v>0</v>
      </c>
      <c r="AJ135" s="46">
        <v>1</v>
      </c>
      <c r="AK135" s="46">
        <v>0</v>
      </c>
      <c r="AL135" s="46">
        <v>0</v>
      </c>
      <c r="AM135" s="49">
        <v>1</v>
      </c>
      <c r="AN135" s="47">
        <v>44456</v>
      </c>
      <c r="AO135" s="47"/>
      <c r="AP135" s="46"/>
      <c r="AQ135" s="50">
        <f t="shared" si="4"/>
        <v>68</v>
      </c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52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</row>
    <row r="136" spans="1:81" ht="15" customHeight="1" x14ac:dyDescent="0.25">
      <c r="A136" s="46" t="s">
        <v>223</v>
      </c>
      <c r="B136" s="46" t="s">
        <v>93</v>
      </c>
      <c r="C136" s="46" t="s">
        <v>89</v>
      </c>
      <c r="D136" s="46">
        <v>138</v>
      </c>
      <c r="E136" s="46">
        <v>139</v>
      </c>
      <c r="F136" s="47">
        <v>44389</v>
      </c>
      <c r="G136" s="48" t="s">
        <v>89</v>
      </c>
      <c r="H136" s="48" t="s">
        <v>89</v>
      </c>
      <c r="I136" s="46" t="s">
        <v>89</v>
      </c>
      <c r="J136" s="46" t="s">
        <v>89</v>
      </c>
      <c r="K136" s="46" t="s">
        <v>89</v>
      </c>
      <c r="L136" s="46" t="s">
        <v>89</v>
      </c>
      <c r="M136" s="46" t="s">
        <v>89</v>
      </c>
      <c r="N136" s="46" t="s">
        <v>89</v>
      </c>
      <c r="O136" s="46" t="s">
        <v>89</v>
      </c>
      <c r="P136" s="46" t="s">
        <v>89</v>
      </c>
      <c r="Q136" s="46" t="s">
        <v>89</v>
      </c>
      <c r="R136" s="46" t="s">
        <v>89</v>
      </c>
      <c r="S136" s="46" t="s">
        <v>89</v>
      </c>
      <c r="T136" s="46" t="s">
        <v>89</v>
      </c>
      <c r="U136" s="46">
        <v>98</v>
      </c>
      <c r="V136" s="46">
        <f t="shared" si="64"/>
        <v>94</v>
      </c>
      <c r="W136" s="46">
        <v>90</v>
      </c>
      <c r="X136" s="46">
        <f t="shared" si="65"/>
        <v>89</v>
      </c>
      <c r="Y136" s="46">
        <v>1</v>
      </c>
      <c r="Z136" s="46">
        <f t="shared" si="66"/>
        <v>4</v>
      </c>
      <c r="AA136" s="46">
        <v>0</v>
      </c>
      <c r="AB136" s="46">
        <v>0</v>
      </c>
      <c r="AC136" s="46">
        <v>4</v>
      </c>
      <c r="AD136" s="46">
        <v>0</v>
      </c>
      <c r="AE136" s="46">
        <v>0</v>
      </c>
      <c r="AF136" s="46">
        <v>0</v>
      </c>
      <c r="AG136" s="46">
        <v>0</v>
      </c>
      <c r="AH136" s="46">
        <f t="shared" si="67"/>
        <v>4</v>
      </c>
      <c r="AI136" s="46">
        <v>4</v>
      </c>
      <c r="AJ136" s="46">
        <v>0</v>
      </c>
      <c r="AK136" s="46">
        <v>0</v>
      </c>
      <c r="AL136" s="46">
        <v>0</v>
      </c>
      <c r="AM136" s="49">
        <v>1</v>
      </c>
      <c r="AN136" s="47">
        <v>44463</v>
      </c>
      <c r="AO136" s="47">
        <v>44437</v>
      </c>
      <c r="AP136" s="46"/>
      <c r="AQ136" s="50">
        <f t="shared" si="4"/>
        <v>74</v>
      </c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52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</row>
    <row r="137" spans="1:81" ht="15" customHeight="1" x14ac:dyDescent="0.25">
      <c r="A137" s="46" t="s">
        <v>224</v>
      </c>
      <c r="B137" s="46" t="s">
        <v>93</v>
      </c>
      <c r="C137" s="46" t="s">
        <v>89</v>
      </c>
      <c r="D137" s="46">
        <v>37</v>
      </c>
      <c r="E137" s="46">
        <v>38</v>
      </c>
      <c r="F137" s="47">
        <v>44389</v>
      </c>
      <c r="G137" s="48" t="s">
        <v>89</v>
      </c>
      <c r="H137" s="48" t="s">
        <v>89</v>
      </c>
      <c r="I137" s="46" t="s">
        <v>89</v>
      </c>
      <c r="J137" s="46" t="s">
        <v>89</v>
      </c>
      <c r="K137" s="46" t="s">
        <v>89</v>
      </c>
      <c r="L137" s="46" t="s">
        <v>89</v>
      </c>
      <c r="M137" s="46" t="s">
        <v>89</v>
      </c>
      <c r="N137" s="46" t="s">
        <v>89</v>
      </c>
      <c r="O137" s="46" t="s">
        <v>89</v>
      </c>
      <c r="P137" s="46" t="s">
        <v>89</v>
      </c>
      <c r="Q137" s="46" t="s">
        <v>89</v>
      </c>
      <c r="R137" s="46" t="s">
        <v>89</v>
      </c>
      <c r="S137" s="46" t="s">
        <v>89</v>
      </c>
      <c r="T137" s="46" t="s">
        <v>89</v>
      </c>
      <c r="U137" s="46">
        <v>118</v>
      </c>
      <c r="V137" s="46">
        <f t="shared" si="64"/>
        <v>110</v>
      </c>
      <c r="W137" s="46">
        <v>107</v>
      </c>
      <c r="X137" s="46">
        <f t="shared" si="65"/>
        <v>102</v>
      </c>
      <c r="Y137" s="46">
        <v>5</v>
      </c>
      <c r="Z137" s="46">
        <f t="shared" si="66"/>
        <v>3</v>
      </c>
      <c r="AA137" s="46">
        <v>0</v>
      </c>
      <c r="AB137" s="46">
        <v>3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f t="shared" si="67"/>
        <v>8</v>
      </c>
      <c r="AI137" s="46">
        <v>8</v>
      </c>
      <c r="AJ137" s="46">
        <v>0</v>
      </c>
      <c r="AK137" s="46">
        <v>0</v>
      </c>
      <c r="AL137" s="46">
        <v>0</v>
      </c>
      <c r="AM137" s="49">
        <v>1</v>
      </c>
      <c r="AN137" s="47">
        <v>44447</v>
      </c>
      <c r="AO137" s="47">
        <v>44443</v>
      </c>
      <c r="AP137" s="46"/>
      <c r="AQ137" s="50">
        <f t="shared" si="4"/>
        <v>58</v>
      </c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52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</row>
    <row r="138" spans="1:81" ht="15" customHeight="1" x14ac:dyDescent="0.25">
      <c r="A138" s="46" t="s">
        <v>225</v>
      </c>
      <c r="B138" s="46" t="s">
        <v>93</v>
      </c>
      <c r="C138" s="46" t="s">
        <v>89</v>
      </c>
      <c r="D138" s="46">
        <v>26</v>
      </c>
      <c r="E138" s="46">
        <v>27</v>
      </c>
      <c r="F138" s="47">
        <v>44389</v>
      </c>
      <c r="G138" s="48" t="s">
        <v>89</v>
      </c>
      <c r="H138" s="48" t="s">
        <v>89</v>
      </c>
      <c r="I138" s="46" t="s">
        <v>89</v>
      </c>
      <c r="J138" s="46" t="s">
        <v>89</v>
      </c>
      <c r="K138" s="46" t="s">
        <v>89</v>
      </c>
      <c r="L138" s="46" t="s">
        <v>89</v>
      </c>
      <c r="M138" s="46" t="s">
        <v>89</v>
      </c>
      <c r="N138" s="46" t="s">
        <v>89</v>
      </c>
      <c r="O138" s="46" t="s">
        <v>89</v>
      </c>
      <c r="P138" s="46" t="s">
        <v>89</v>
      </c>
      <c r="Q138" s="46" t="s">
        <v>89</v>
      </c>
      <c r="R138" s="46" t="s">
        <v>89</v>
      </c>
      <c r="S138" s="46" t="s">
        <v>89</v>
      </c>
      <c r="T138" s="46" t="s">
        <v>89</v>
      </c>
      <c r="U138" s="46">
        <v>81</v>
      </c>
      <c r="V138" s="46">
        <f t="shared" si="64"/>
        <v>79</v>
      </c>
      <c r="W138" s="46">
        <v>72</v>
      </c>
      <c r="X138" s="46">
        <f t="shared" si="65"/>
        <v>64</v>
      </c>
      <c r="Y138" s="46">
        <v>8</v>
      </c>
      <c r="Z138" s="46">
        <f t="shared" si="66"/>
        <v>7</v>
      </c>
      <c r="AA138" s="46">
        <v>3</v>
      </c>
      <c r="AB138" s="46">
        <v>0</v>
      </c>
      <c r="AC138" s="46">
        <v>1</v>
      </c>
      <c r="AD138" s="46">
        <v>2</v>
      </c>
      <c r="AE138" s="46">
        <v>0</v>
      </c>
      <c r="AF138" s="46">
        <v>1</v>
      </c>
      <c r="AG138" s="46">
        <v>0</v>
      </c>
      <c r="AH138" s="46">
        <f t="shared" si="67"/>
        <v>2</v>
      </c>
      <c r="AI138" s="46">
        <v>2</v>
      </c>
      <c r="AJ138" s="46">
        <v>0</v>
      </c>
      <c r="AK138" s="46">
        <v>0</v>
      </c>
      <c r="AL138" s="46">
        <v>0</v>
      </c>
      <c r="AM138" s="49">
        <v>1</v>
      </c>
      <c r="AN138" s="47">
        <v>44459</v>
      </c>
      <c r="AO138" s="47"/>
      <c r="AP138" s="46"/>
      <c r="AQ138" s="50">
        <f t="shared" si="4"/>
        <v>70</v>
      </c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52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</row>
    <row r="139" spans="1:81" ht="15" customHeight="1" x14ac:dyDescent="0.25">
      <c r="A139" s="46" t="s">
        <v>226</v>
      </c>
      <c r="B139" s="46" t="s">
        <v>93</v>
      </c>
      <c r="C139" s="46" t="s">
        <v>89</v>
      </c>
      <c r="D139" s="46">
        <v>56</v>
      </c>
      <c r="E139" s="46">
        <v>57</v>
      </c>
      <c r="F139" s="47">
        <v>44390</v>
      </c>
      <c r="G139" s="48" t="s">
        <v>89</v>
      </c>
      <c r="H139" s="48" t="s">
        <v>89</v>
      </c>
      <c r="I139" s="46" t="s">
        <v>89</v>
      </c>
      <c r="J139" s="46" t="s">
        <v>89</v>
      </c>
      <c r="K139" s="46" t="s">
        <v>89</v>
      </c>
      <c r="L139" s="46" t="s">
        <v>89</v>
      </c>
      <c r="M139" s="46" t="s">
        <v>89</v>
      </c>
      <c r="N139" s="46" t="s">
        <v>89</v>
      </c>
      <c r="O139" s="46" t="s">
        <v>89</v>
      </c>
      <c r="P139" s="46" t="s">
        <v>89</v>
      </c>
      <c r="Q139" s="46" t="s">
        <v>89</v>
      </c>
      <c r="R139" s="46" t="s">
        <v>89</v>
      </c>
      <c r="S139" s="46" t="s">
        <v>89</v>
      </c>
      <c r="T139" s="46" t="s">
        <v>89</v>
      </c>
      <c r="U139" s="46" t="s">
        <v>89</v>
      </c>
      <c r="V139" s="46" t="s">
        <v>89</v>
      </c>
      <c r="W139" s="46" t="s">
        <v>89</v>
      </c>
      <c r="X139" s="46" t="s">
        <v>89</v>
      </c>
      <c r="Y139" s="46" t="s">
        <v>89</v>
      </c>
      <c r="Z139" s="46" t="s">
        <v>89</v>
      </c>
      <c r="AA139" s="46" t="s">
        <v>89</v>
      </c>
      <c r="AB139" s="46" t="s">
        <v>89</v>
      </c>
      <c r="AC139" s="46" t="s">
        <v>89</v>
      </c>
      <c r="AD139" s="46" t="s">
        <v>89</v>
      </c>
      <c r="AE139" s="46" t="s">
        <v>89</v>
      </c>
      <c r="AF139" s="46" t="s">
        <v>89</v>
      </c>
      <c r="AG139" s="46" t="s">
        <v>89</v>
      </c>
      <c r="AH139" s="46" t="s">
        <v>89</v>
      </c>
      <c r="AI139" s="46" t="s">
        <v>89</v>
      </c>
      <c r="AJ139" s="46" t="s">
        <v>89</v>
      </c>
      <c r="AK139" s="46" t="s">
        <v>89</v>
      </c>
      <c r="AL139" s="46" t="s">
        <v>89</v>
      </c>
      <c r="AM139" s="49">
        <v>1</v>
      </c>
      <c r="AN139" s="46" t="s">
        <v>89</v>
      </c>
      <c r="AO139" s="47"/>
      <c r="AP139" s="46"/>
      <c r="AQ139" s="50" t="str">
        <f t="shared" si="4"/>
        <v>N.A.</v>
      </c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52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</row>
    <row r="140" spans="1:81" ht="15" customHeight="1" x14ac:dyDescent="0.25">
      <c r="A140" s="46" t="s">
        <v>227</v>
      </c>
      <c r="B140" s="46" t="s">
        <v>88</v>
      </c>
      <c r="C140" s="46" t="s">
        <v>89</v>
      </c>
      <c r="D140" s="46">
        <v>58</v>
      </c>
      <c r="E140" s="46">
        <v>59</v>
      </c>
      <c r="F140" s="47">
        <v>44390</v>
      </c>
      <c r="G140" s="48" t="s">
        <v>89</v>
      </c>
      <c r="H140" s="48" t="s">
        <v>89</v>
      </c>
      <c r="I140" s="46" t="s">
        <v>89</v>
      </c>
      <c r="J140" s="46" t="s">
        <v>89</v>
      </c>
      <c r="K140" s="46" t="s">
        <v>89</v>
      </c>
      <c r="L140" s="46" t="s">
        <v>89</v>
      </c>
      <c r="M140" s="46" t="s">
        <v>89</v>
      </c>
      <c r="N140" s="46" t="s">
        <v>89</v>
      </c>
      <c r="O140" s="46" t="s">
        <v>89</v>
      </c>
      <c r="P140" s="46" t="s">
        <v>89</v>
      </c>
      <c r="Q140" s="46" t="s">
        <v>89</v>
      </c>
      <c r="R140" s="46" t="s">
        <v>89</v>
      </c>
      <c r="S140" s="46" t="s">
        <v>89</v>
      </c>
      <c r="T140" s="46" t="s">
        <v>89</v>
      </c>
      <c r="U140" s="46" t="s">
        <v>89</v>
      </c>
      <c r="V140" s="46" t="s">
        <v>89</v>
      </c>
      <c r="W140" s="46" t="s">
        <v>89</v>
      </c>
      <c r="X140" s="46" t="s">
        <v>89</v>
      </c>
      <c r="Y140" s="46" t="s">
        <v>89</v>
      </c>
      <c r="Z140" s="46" t="s">
        <v>89</v>
      </c>
      <c r="AA140" s="46" t="s">
        <v>89</v>
      </c>
      <c r="AB140" s="46" t="s">
        <v>89</v>
      </c>
      <c r="AC140" s="46" t="s">
        <v>89</v>
      </c>
      <c r="AD140" s="46" t="s">
        <v>89</v>
      </c>
      <c r="AE140" s="46" t="s">
        <v>89</v>
      </c>
      <c r="AF140" s="46" t="s">
        <v>89</v>
      </c>
      <c r="AG140" s="46" t="s">
        <v>89</v>
      </c>
      <c r="AH140" s="46" t="s">
        <v>89</v>
      </c>
      <c r="AI140" s="46" t="s">
        <v>89</v>
      </c>
      <c r="AJ140" s="46" t="s">
        <v>89</v>
      </c>
      <c r="AK140" s="46" t="s">
        <v>89</v>
      </c>
      <c r="AL140" s="46" t="s">
        <v>89</v>
      </c>
      <c r="AM140" s="49">
        <v>1</v>
      </c>
      <c r="AN140" s="46" t="s">
        <v>89</v>
      </c>
      <c r="AO140" s="47"/>
      <c r="AP140" s="46"/>
      <c r="AQ140" s="50" t="str">
        <f t="shared" si="4"/>
        <v>N.A.</v>
      </c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52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</row>
    <row r="141" spans="1:81" ht="15" customHeight="1" x14ac:dyDescent="0.25">
      <c r="A141" s="46" t="s">
        <v>228</v>
      </c>
      <c r="B141" s="46" t="s">
        <v>88</v>
      </c>
      <c r="C141" s="46" t="s">
        <v>89</v>
      </c>
      <c r="D141" s="46">
        <v>127</v>
      </c>
      <c r="E141" s="46">
        <v>128</v>
      </c>
      <c r="F141" s="47">
        <v>44390</v>
      </c>
      <c r="G141" s="48" t="s">
        <v>89</v>
      </c>
      <c r="H141" s="48" t="s">
        <v>89</v>
      </c>
      <c r="I141" s="46" t="s">
        <v>89</v>
      </c>
      <c r="J141" s="46" t="s">
        <v>89</v>
      </c>
      <c r="K141" s="46" t="s">
        <v>89</v>
      </c>
      <c r="L141" s="46" t="s">
        <v>89</v>
      </c>
      <c r="M141" s="46" t="s">
        <v>89</v>
      </c>
      <c r="N141" s="46" t="s">
        <v>89</v>
      </c>
      <c r="O141" s="46" t="s">
        <v>89</v>
      </c>
      <c r="P141" s="46" t="s">
        <v>89</v>
      </c>
      <c r="Q141" s="46" t="s">
        <v>89</v>
      </c>
      <c r="R141" s="46" t="s">
        <v>89</v>
      </c>
      <c r="S141" s="46" t="s">
        <v>89</v>
      </c>
      <c r="T141" s="46" t="s">
        <v>89</v>
      </c>
      <c r="U141" s="46" t="s">
        <v>89</v>
      </c>
      <c r="V141" s="46" t="s">
        <v>89</v>
      </c>
      <c r="W141" s="46" t="s">
        <v>89</v>
      </c>
      <c r="X141" s="46" t="s">
        <v>89</v>
      </c>
      <c r="Y141" s="46" t="s">
        <v>89</v>
      </c>
      <c r="Z141" s="46" t="s">
        <v>89</v>
      </c>
      <c r="AA141" s="46" t="s">
        <v>89</v>
      </c>
      <c r="AB141" s="46" t="s">
        <v>89</v>
      </c>
      <c r="AC141" s="46" t="s">
        <v>89</v>
      </c>
      <c r="AD141" s="46" t="s">
        <v>89</v>
      </c>
      <c r="AE141" s="46" t="s">
        <v>89</v>
      </c>
      <c r="AF141" s="46" t="s">
        <v>89</v>
      </c>
      <c r="AG141" s="46" t="s">
        <v>89</v>
      </c>
      <c r="AH141" s="46" t="s">
        <v>89</v>
      </c>
      <c r="AI141" s="46" t="s">
        <v>89</v>
      </c>
      <c r="AJ141" s="46" t="s">
        <v>89</v>
      </c>
      <c r="AK141" s="46" t="s">
        <v>89</v>
      </c>
      <c r="AL141" s="46" t="s">
        <v>89</v>
      </c>
      <c r="AM141" s="49">
        <v>1</v>
      </c>
      <c r="AN141" s="46" t="s">
        <v>89</v>
      </c>
      <c r="AO141" s="47">
        <v>44447</v>
      </c>
      <c r="AP141" s="46"/>
      <c r="AQ141" s="50" t="str">
        <f t="shared" si="4"/>
        <v>N.A.</v>
      </c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52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</row>
    <row r="142" spans="1:81" ht="15" customHeight="1" x14ac:dyDescent="0.25">
      <c r="A142" s="46" t="s">
        <v>229</v>
      </c>
      <c r="B142" s="46" t="s">
        <v>93</v>
      </c>
      <c r="C142" s="46" t="s">
        <v>89</v>
      </c>
      <c r="D142" s="46">
        <v>132</v>
      </c>
      <c r="E142" s="46">
        <v>133</v>
      </c>
      <c r="F142" s="47">
        <v>44390</v>
      </c>
      <c r="G142" s="48" t="s">
        <v>89</v>
      </c>
      <c r="H142" s="48" t="s">
        <v>89</v>
      </c>
      <c r="I142" s="46" t="s">
        <v>89</v>
      </c>
      <c r="J142" s="46" t="s">
        <v>89</v>
      </c>
      <c r="K142" s="46" t="s">
        <v>89</v>
      </c>
      <c r="L142" s="46" t="s">
        <v>89</v>
      </c>
      <c r="M142" s="46" t="s">
        <v>89</v>
      </c>
      <c r="N142" s="46" t="s">
        <v>89</v>
      </c>
      <c r="O142" s="46" t="s">
        <v>89</v>
      </c>
      <c r="P142" s="46" t="s">
        <v>89</v>
      </c>
      <c r="Q142" s="46" t="s">
        <v>89</v>
      </c>
      <c r="R142" s="46" t="s">
        <v>89</v>
      </c>
      <c r="S142" s="46" t="s">
        <v>89</v>
      </c>
      <c r="T142" s="46" t="s">
        <v>89</v>
      </c>
      <c r="U142" s="46" t="s">
        <v>89</v>
      </c>
      <c r="V142" s="46" t="s">
        <v>89</v>
      </c>
      <c r="W142" s="46" t="s">
        <v>89</v>
      </c>
      <c r="X142" s="46" t="s">
        <v>89</v>
      </c>
      <c r="Y142" s="46" t="s">
        <v>89</v>
      </c>
      <c r="Z142" s="46" t="s">
        <v>89</v>
      </c>
      <c r="AA142" s="46" t="s">
        <v>89</v>
      </c>
      <c r="AB142" s="46" t="s">
        <v>89</v>
      </c>
      <c r="AC142" s="46" t="s">
        <v>89</v>
      </c>
      <c r="AD142" s="46" t="s">
        <v>89</v>
      </c>
      <c r="AE142" s="46" t="s">
        <v>89</v>
      </c>
      <c r="AF142" s="46" t="s">
        <v>89</v>
      </c>
      <c r="AG142" s="46" t="s">
        <v>89</v>
      </c>
      <c r="AH142" s="46" t="s">
        <v>89</v>
      </c>
      <c r="AI142" s="46" t="s">
        <v>89</v>
      </c>
      <c r="AJ142" s="46" t="s">
        <v>89</v>
      </c>
      <c r="AK142" s="46" t="s">
        <v>89</v>
      </c>
      <c r="AL142" s="46" t="s">
        <v>89</v>
      </c>
      <c r="AM142" s="46">
        <v>0</v>
      </c>
      <c r="AN142" s="46" t="s">
        <v>89</v>
      </c>
      <c r="AO142" s="47"/>
      <c r="AP142" s="46"/>
      <c r="AQ142" s="50" t="str">
        <f t="shared" si="4"/>
        <v>N.A.</v>
      </c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52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</row>
    <row r="143" spans="1:81" ht="15" customHeight="1" x14ac:dyDescent="0.25">
      <c r="A143" s="46" t="s">
        <v>230</v>
      </c>
      <c r="B143" s="46" t="s">
        <v>93</v>
      </c>
      <c r="C143" s="46" t="s">
        <v>89</v>
      </c>
      <c r="D143" s="46">
        <v>125</v>
      </c>
      <c r="E143" s="46">
        <v>126</v>
      </c>
      <c r="F143" s="47">
        <v>44390</v>
      </c>
      <c r="G143" s="48" t="s">
        <v>89</v>
      </c>
      <c r="H143" s="48" t="s">
        <v>89</v>
      </c>
      <c r="I143" s="46" t="s">
        <v>89</v>
      </c>
      <c r="J143" s="46" t="s">
        <v>89</v>
      </c>
      <c r="K143" s="46" t="s">
        <v>89</v>
      </c>
      <c r="L143" s="46" t="s">
        <v>89</v>
      </c>
      <c r="M143" s="46" t="s">
        <v>89</v>
      </c>
      <c r="N143" s="46" t="s">
        <v>89</v>
      </c>
      <c r="O143" s="46" t="s">
        <v>89</v>
      </c>
      <c r="P143" s="46" t="s">
        <v>89</v>
      </c>
      <c r="Q143" s="46" t="s">
        <v>89</v>
      </c>
      <c r="R143" s="46" t="s">
        <v>89</v>
      </c>
      <c r="S143" s="46" t="s">
        <v>89</v>
      </c>
      <c r="T143" s="46" t="s">
        <v>89</v>
      </c>
      <c r="U143" s="46">
        <v>75</v>
      </c>
      <c r="V143" s="46">
        <f>W143+Z143</f>
        <v>72</v>
      </c>
      <c r="W143" s="46">
        <v>70</v>
      </c>
      <c r="X143" s="46">
        <f>W143-Y143</f>
        <v>70</v>
      </c>
      <c r="Y143" s="46">
        <v>0</v>
      </c>
      <c r="Z143" s="46">
        <f>SUM(AA143:AG143)</f>
        <v>2</v>
      </c>
      <c r="AA143" s="46">
        <v>0</v>
      </c>
      <c r="AB143" s="46">
        <v>0</v>
      </c>
      <c r="AC143" s="46">
        <v>2</v>
      </c>
      <c r="AD143" s="46">
        <v>0</v>
      </c>
      <c r="AE143" s="46">
        <v>0</v>
      </c>
      <c r="AF143" s="46">
        <v>0</v>
      </c>
      <c r="AG143" s="46">
        <v>0</v>
      </c>
      <c r="AH143" s="46">
        <f>SUM(AI143:AL143)</f>
        <v>3</v>
      </c>
      <c r="AI143" s="46">
        <v>2</v>
      </c>
      <c r="AJ143" s="46">
        <v>1</v>
      </c>
      <c r="AK143" s="46">
        <v>0</v>
      </c>
      <c r="AL143" s="46">
        <v>0</v>
      </c>
      <c r="AM143" s="49">
        <v>1</v>
      </c>
      <c r="AN143" s="47">
        <v>44456</v>
      </c>
      <c r="AO143" s="47">
        <v>44442</v>
      </c>
      <c r="AP143" s="46"/>
      <c r="AQ143" s="50">
        <f t="shared" si="4"/>
        <v>66</v>
      </c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52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</row>
    <row r="144" spans="1:81" ht="15" customHeight="1" x14ac:dyDescent="0.25">
      <c r="A144" s="46" t="s">
        <v>231</v>
      </c>
      <c r="B144" s="46" t="s">
        <v>93</v>
      </c>
      <c r="C144" s="46" t="s">
        <v>89</v>
      </c>
      <c r="D144" s="46">
        <v>53</v>
      </c>
      <c r="E144" s="46">
        <v>54</v>
      </c>
      <c r="F144" s="47">
        <v>44390</v>
      </c>
      <c r="G144" s="48" t="s">
        <v>89</v>
      </c>
      <c r="H144" s="48" t="s">
        <v>89</v>
      </c>
      <c r="I144" s="46" t="s">
        <v>89</v>
      </c>
      <c r="J144" s="46" t="s">
        <v>89</v>
      </c>
      <c r="K144" s="46" t="s">
        <v>89</v>
      </c>
      <c r="L144" s="46" t="s">
        <v>89</v>
      </c>
      <c r="M144" s="46" t="s">
        <v>89</v>
      </c>
      <c r="N144" s="46" t="s">
        <v>89</v>
      </c>
      <c r="O144" s="46" t="s">
        <v>89</v>
      </c>
      <c r="P144" s="46" t="s">
        <v>89</v>
      </c>
      <c r="Q144" s="46" t="s">
        <v>89</v>
      </c>
      <c r="R144" s="46" t="s">
        <v>89</v>
      </c>
      <c r="S144" s="46" t="s">
        <v>89</v>
      </c>
      <c r="T144" s="46" t="s">
        <v>89</v>
      </c>
      <c r="U144" s="46" t="s">
        <v>89</v>
      </c>
      <c r="V144" s="46" t="s">
        <v>89</v>
      </c>
      <c r="W144" s="46" t="s">
        <v>89</v>
      </c>
      <c r="X144" s="46" t="s">
        <v>89</v>
      </c>
      <c r="Y144" s="46" t="s">
        <v>89</v>
      </c>
      <c r="Z144" s="46" t="s">
        <v>89</v>
      </c>
      <c r="AA144" s="46" t="s">
        <v>89</v>
      </c>
      <c r="AB144" s="46" t="s">
        <v>89</v>
      </c>
      <c r="AC144" s="46" t="s">
        <v>89</v>
      </c>
      <c r="AD144" s="46" t="s">
        <v>89</v>
      </c>
      <c r="AE144" s="46" t="s">
        <v>89</v>
      </c>
      <c r="AF144" s="46" t="s">
        <v>89</v>
      </c>
      <c r="AG144" s="46" t="s">
        <v>89</v>
      </c>
      <c r="AH144" s="46" t="s">
        <v>89</v>
      </c>
      <c r="AI144" s="46" t="s">
        <v>89</v>
      </c>
      <c r="AJ144" s="46" t="s">
        <v>89</v>
      </c>
      <c r="AK144" s="46" t="s">
        <v>89</v>
      </c>
      <c r="AL144" s="46" t="s">
        <v>89</v>
      </c>
      <c r="AM144" s="46">
        <v>0</v>
      </c>
      <c r="AN144" s="46" t="s">
        <v>89</v>
      </c>
      <c r="AO144" s="47"/>
      <c r="AP144" s="46"/>
      <c r="AQ144" s="50" t="str">
        <f t="shared" si="4"/>
        <v>N.A.</v>
      </c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52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</row>
    <row r="145" spans="1:81" ht="15" customHeight="1" x14ac:dyDescent="0.25">
      <c r="A145" s="46" t="s">
        <v>232</v>
      </c>
      <c r="B145" s="46" t="s">
        <v>93</v>
      </c>
      <c r="C145" s="46" t="s">
        <v>89</v>
      </c>
      <c r="D145" s="46">
        <v>28</v>
      </c>
      <c r="E145" s="46">
        <v>26</v>
      </c>
      <c r="F145" s="47">
        <v>44391</v>
      </c>
      <c r="G145" s="48" t="s">
        <v>89</v>
      </c>
      <c r="H145" s="48" t="s">
        <v>89</v>
      </c>
      <c r="I145" s="46" t="s">
        <v>89</v>
      </c>
      <c r="J145" s="46" t="s">
        <v>89</v>
      </c>
      <c r="K145" s="46" t="s">
        <v>89</v>
      </c>
      <c r="L145" s="46" t="s">
        <v>89</v>
      </c>
      <c r="M145" s="46" t="s">
        <v>89</v>
      </c>
      <c r="N145" s="46" t="s">
        <v>89</v>
      </c>
      <c r="O145" s="46" t="s">
        <v>89</v>
      </c>
      <c r="P145" s="46" t="s">
        <v>89</v>
      </c>
      <c r="Q145" s="46" t="s">
        <v>89</v>
      </c>
      <c r="R145" s="46" t="s">
        <v>89</v>
      </c>
      <c r="S145" s="46" t="s">
        <v>89</v>
      </c>
      <c r="T145" s="46" t="s">
        <v>89</v>
      </c>
      <c r="U145" s="46" t="s">
        <v>89</v>
      </c>
      <c r="V145" s="46" t="s">
        <v>89</v>
      </c>
      <c r="W145" s="46" t="s">
        <v>89</v>
      </c>
      <c r="X145" s="46" t="s">
        <v>89</v>
      </c>
      <c r="Y145" s="46" t="s">
        <v>89</v>
      </c>
      <c r="Z145" s="46" t="s">
        <v>89</v>
      </c>
      <c r="AA145" s="46" t="s">
        <v>89</v>
      </c>
      <c r="AB145" s="46" t="s">
        <v>89</v>
      </c>
      <c r="AC145" s="46" t="s">
        <v>89</v>
      </c>
      <c r="AD145" s="46" t="s">
        <v>89</v>
      </c>
      <c r="AE145" s="46" t="s">
        <v>89</v>
      </c>
      <c r="AF145" s="46" t="s">
        <v>89</v>
      </c>
      <c r="AG145" s="46" t="s">
        <v>89</v>
      </c>
      <c r="AH145" s="46" t="s">
        <v>89</v>
      </c>
      <c r="AI145" s="46" t="s">
        <v>89</v>
      </c>
      <c r="AJ145" s="46" t="s">
        <v>89</v>
      </c>
      <c r="AK145" s="46">
        <v>0</v>
      </c>
      <c r="AL145" s="46">
        <v>0</v>
      </c>
      <c r="AM145" s="49">
        <v>1</v>
      </c>
      <c r="AN145" s="46" t="s">
        <v>89</v>
      </c>
      <c r="AO145" s="47"/>
      <c r="AP145" s="46"/>
      <c r="AQ145" s="50" t="str">
        <f t="shared" si="4"/>
        <v>N.A.</v>
      </c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52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</row>
    <row r="146" spans="1:81" ht="15" customHeight="1" x14ac:dyDescent="0.25">
      <c r="A146" s="46" t="s">
        <v>233</v>
      </c>
      <c r="B146" s="46" t="s">
        <v>93</v>
      </c>
      <c r="C146" s="46" t="s">
        <v>89</v>
      </c>
      <c r="D146" s="46">
        <v>144</v>
      </c>
      <c r="E146" s="46">
        <v>145</v>
      </c>
      <c r="F146" s="47">
        <v>44391</v>
      </c>
      <c r="G146" s="48" t="s">
        <v>89</v>
      </c>
      <c r="H146" s="48" t="s">
        <v>89</v>
      </c>
      <c r="I146" s="46" t="s">
        <v>89</v>
      </c>
      <c r="J146" s="46" t="s">
        <v>89</v>
      </c>
      <c r="K146" s="46" t="s">
        <v>89</v>
      </c>
      <c r="L146" s="46" t="s">
        <v>89</v>
      </c>
      <c r="M146" s="46" t="s">
        <v>89</v>
      </c>
      <c r="N146" s="46" t="s">
        <v>89</v>
      </c>
      <c r="O146" s="46" t="s">
        <v>89</v>
      </c>
      <c r="P146" s="46" t="s">
        <v>89</v>
      </c>
      <c r="Q146" s="46" t="s">
        <v>89</v>
      </c>
      <c r="R146" s="46" t="s">
        <v>89</v>
      </c>
      <c r="S146" s="46" t="s">
        <v>89</v>
      </c>
      <c r="T146" s="46" t="s">
        <v>89</v>
      </c>
      <c r="U146" s="46">
        <v>84</v>
      </c>
      <c r="V146" s="46">
        <f>W146+Z146</f>
        <v>83</v>
      </c>
      <c r="W146" s="46">
        <v>83</v>
      </c>
      <c r="X146" s="46">
        <f>W146-Y146</f>
        <v>83</v>
      </c>
      <c r="Y146" s="46">
        <v>0</v>
      </c>
      <c r="Z146" s="46">
        <f>SUM(AA146:AG146)</f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f>SUM(AI146:AL146)</f>
        <v>1</v>
      </c>
      <c r="AI146" s="46">
        <v>1</v>
      </c>
      <c r="AJ146" s="46">
        <v>0</v>
      </c>
      <c r="AK146" s="46">
        <v>0</v>
      </c>
      <c r="AL146" s="46">
        <v>0</v>
      </c>
      <c r="AM146" s="49">
        <v>1</v>
      </c>
      <c r="AN146" s="47">
        <v>44463</v>
      </c>
      <c r="AO146" s="47">
        <v>44442</v>
      </c>
      <c r="AP146" s="46"/>
      <c r="AQ146" s="50">
        <f t="shared" si="4"/>
        <v>72</v>
      </c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52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</row>
    <row r="147" spans="1:81" ht="15" customHeight="1" x14ac:dyDescent="0.25">
      <c r="A147" s="46" t="s">
        <v>234</v>
      </c>
      <c r="B147" s="46" t="s">
        <v>93</v>
      </c>
      <c r="C147" s="46" t="s">
        <v>89</v>
      </c>
      <c r="D147" s="46">
        <v>152</v>
      </c>
      <c r="E147" s="46">
        <v>153</v>
      </c>
      <c r="F147" s="47">
        <v>44391</v>
      </c>
      <c r="G147" s="48" t="s">
        <v>89</v>
      </c>
      <c r="H147" s="48" t="s">
        <v>89</v>
      </c>
      <c r="I147" s="46" t="s">
        <v>89</v>
      </c>
      <c r="J147" s="46" t="s">
        <v>89</v>
      </c>
      <c r="K147" s="46" t="s">
        <v>89</v>
      </c>
      <c r="L147" s="46" t="s">
        <v>89</v>
      </c>
      <c r="M147" s="46" t="s">
        <v>89</v>
      </c>
      <c r="N147" s="46" t="s">
        <v>89</v>
      </c>
      <c r="O147" s="46" t="s">
        <v>89</v>
      </c>
      <c r="P147" s="46" t="s">
        <v>89</v>
      </c>
      <c r="Q147" s="46" t="s">
        <v>89</v>
      </c>
      <c r="R147" s="46" t="s">
        <v>89</v>
      </c>
      <c r="S147" s="46" t="s">
        <v>89</v>
      </c>
      <c r="T147" s="46" t="s">
        <v>89</v>
      </c>
      <c r="U147" s="46" t="s">
        <v>89</v>
      </c>
      <c r="V147" s="46" t="s">
        <v>89</v>
      </c>
      <c r="W147" s="46" t="s">
        <v>89</v>
      </c>
      <c r="X147" s="46" t="s">
        <v>89</v>
      </c>
      <c r="Y147" s="46" t="s">
        <v>89</v>
      </c>
      <c r="Z147" s="46" t="s">
        <v>89</v>
      </c>
      <c r="AA147" s="46" t="s">
        <v>89</v>
      </c>
      <c r="AB147" s="46" t="s">
        <v>89</v>
      </c>
      <c r="AC147" s="46" t="s">
        <v>89</v>
      </c>
      <c r="AD147" s="46" t="s">
        <v>89</v>
      </c>
      <c r="AE147" s="46" t="s">
        <v>89</v>
      </c>
      <c r="AF147" s="46" t="s">
        <v>89</v>
      </c>
      <c r="AG147" s="46" t="s">
        <v>89</v>
      </c>
      <c r="AH147" s="46" t="s">
        <v>89</v>
      </c>
      <c r="AI147" s="46" t="s">
        <v>89</v>
      </c>
      <c r="AJ147" s="46" t="s">
        <v>89</v>
      </c>
      <c r="AK147" s="46">
        <v>0</v>
      </c>
      <c r="AL147" s="46">
        <v>0</v>
      </c>
      <c r="AM147" s="49">
        <v>1</v>
      </c>
      <c r="AN147" s="46" t="s">
        <v>89</v>
      </c>
      <c r="AO147" s="46"/>
      <c r="AP147" s="46"/>
      <c r="AQ147" s="50" t="str">
        <f t="shared" si="4"/>
        <v>N.A.</v>
      </c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52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</row>
    <row r="148" spans="1:81" ht="15" customHeight="1" x14ac:dyDescent="0.25">
      <c r="A148" s="46" t="s">
        <v>235</v>
      </c>
      <c r="B148" s="46" t="s">
        <v>88</v>
      </c>
      <c r="C148" s="46" t="s">
        <v>89</v>
      </c>
      <c r="D148" s="46">
        <v>18</v>
      </c>
      <c r="E148" s="46">
        <v>19</v>
      </c>
      <c r="F148" s="47">
        <v>44391</v>
      </c>
      <c r="G148" s="48" t="s">
        <v>89</v>
      </c>
      <c r="H148" s="48" t="s">
        <v>89</v>
      </c>
      <c r="I148" s="46" t="s">
        <v>89</v>
      </c>
      <c r="J148" s="46" t="s">
        <v>89</v>
      </c>
      <c r="K148" s="46" t="s">
        <v>89</v>
      </c>
      <c r="L148" s="46" t="s">
        <v>89</v>
      </c>
      <c r="M148" s="46" t="s">
        <v>89</v>
      </c>
      <c r="N148" s="46" t="s">
        <v>89</v>
      </c>
      <c r="O148" s="46" t="s">
        <v>89</v>
      </c>
      <c r="P148" s="46" t="s">
        <v>89</v>
      </c>
      <c r="Q148" s="46" t="s">
        <v>89</v>
      </c>
      <c r="R148" s="46" t="s">
        <v>89</v>
      </c>
      <c r="S148" s="46" t="s">
        <v>89</v>
      </c>
      <c r="T148" s="46" t="s">
        <v>89</v>
      </c>
      <c r="U148" s="46" t="s">
        <v>89</v>
      </c>
      <c r="V148" s="46" t="s">
        <v>89</v>
      </c>
      <c r="W148" s="46" t="s">
        <v>89</v>
      </c>
      <c r="X148" s="46" t="s">
        <v>89</v>
      </c>
      <c r="Y148" s="46" t="s">
        <v>89</v>
      </c>
      <c r="Z148" s="46" t="s">
        <v>89</v>
      </c>
      <c r="AA148" s="46" t="s">
        <v>89</v>
      </c>
      <c r="AB148" s="46" t="s">
        <v>89</v>
      </c>
      <c r="AC148" s="46" t="s">
        <v>89</v>
      </c>
      <c r="AD148" s="46" t="s">
        <v>89</v>
      </c>
      <c r="AE148" s="46" t="s">
        <v>89</v>
      </c>
      <c r="AF148" s="46" t="s">
        <v>89</v>
      </c>
      <c r="AG148" s="46" t="s">
        <v>89</v>
      </c>
      <c r="AH148" s="46" t="s">
        <v>89</v>
      </c>
      <c r="AI148" s="46" t="s">
        <v>89</v>
      </c>
      <c r="AJ148" s="46" t="s">
        <v>89</v>
      </c>
      <c r="AK148" s="46" t="s">
        <v>89</v>
      </c>
      <c r="AL148" s="46" t="s">
        <v>89</v>
      </c>
      <c r="AM148" s="46">
        <v>0</v>
      </c>
      <c r="AN148" s="46" t="s">
        <v>89</v>
      </c>
      <c r="AO148" s="46"/>
      <c r="AP148" s="46"/>
      <c r="AQ148" s="50" t="str">
        <f t="shared" si="4"/>
        <v>N.A.</v>
      </c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52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</row>
    <row r="149" spans="1:81" ht="15" customHeight="1" x14ac:dyDescent="0.25">
      <c r="A149" s="46" t="s">
        <v>236</v>
      </c>
      <c r="B149" s="46" t="s">
        <v>88</v>
      </c>
      <c r="C149" s="46" t="s">
        <v>89</v>
      </c>
      <c r="D149" s="46">
        <v>8</v>
      </c>
      <c r="E149" s="46">
        <v>9</v>
      </c>
      <c r="F149" s="47">
        <v>44391</v>
      </c>
      <c r="G149" s="48" t="s">
        <v>89</v>
      </c>
      <c r="H149" s="48" t="s">
        <v>89</v>
      </c>
      <c r="I149" s="46" t="s">
        <v>89</v>
      </c>
      <c r="J149" s="46" t="s">
        <v>89</v>
      </c>
      <c r="K149" s="46" t="s">
        <v>89</v>
      </c>
      <c r="L149" s="46" t="s">
        <v>89</v>
      </c>
      <c r="M149" s="46" t="s">
        <v>89</v>
      </c>
      <c r="N149" s="46" t="s">
        <v>89</v>
      </c>
      <c r="O149" s="46" t="s">
        <v>89</v>
      </c>
      <c r="P149" s="46" t="s">
        <v>89</v>
      </c>
      <c r="Q149" s="46" t="s">
        <v>89</v>
      </c>
      <c r="R149" s="46" t="s">
        <v>89</v>
      </c>
      <c r="S149" s="46" t="s">
        <v>89</v>
      </c>
      <c r="T149" s="46" t="s">
        <v>89</v>
      </c>
      <c r="U149" s="46" t="s">
        <v>89</v>
      </c>
      <c r="V149" s="46" t="s">
        <v>89</v>
      </c>
      <c r="W149" s="46" t="s">
        <v>89</v>
      </c>
      <c r="X149" s="46" t="s">
        <v>89</v>
      </c>
      <c r="Y149" s="46" t="s">
        <v>89</v>
      </c>
      <c r="Z149" s="46" t="s">
        <v>89</v>
      </c>
      <c r="AA149" s="46" t="s">
        <v>89</v>
      </c>
      <c r="AB149" s="46" t="s">
        <v>89</v>
      </c>
      <c r="AC149" s="46" t="s">
        <v>89</v>
      </c>
      <c r="AD149" s="46" t="s">
        <v>89</v>
      </c>
      <c r="AE149" s="46" t="s">
        <v>89</v>
      </c>
      <c r="AF149" s="46" t="s">
        <v>89</v>
      </c>
      <c r="AG149" s="46" t="s">
        <v>89</v>
      </c>
      <c r="AH149" s="46" t="s">
        <v>89</v>
      </c>
      <c r="AI149" s="46" t="s">
        <v>89</v>
      </c>
      <c r="AJ149" s="46" t="s">
        <v>89</v>
      </c>
      <c r="AK149" s="46" t="s">
        <v>89</v>
      </c>
      <c r="AL149" s="46" t="s">
        <v>89</v>
      </c>
      <c r="AM149" s="46">
        <v>0</v>
      </c>
      <c r="AN149" s="46" t="s">
        <v>89</v>
      </c>
      <c r="AO149" s="46"/>
      <c r="AP149" s="46"/>
      <c r="AQ149" s="50" t="str">
        <f t="shared" si="4"/>
        <v>N.A.</v>
      </c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52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</row>
    <row r="150" spans="1:81" ht="15" customHeight="1" x14ac:dyDescent="0.25">
      <c r="A150" s="46" t="s">
        <v>237</v>
      </c>
      <c r="B150" s="46" t="s">
        <v>93</v>
      </c>
      <c r="C150" s="46" t="s">
        <v>89</v>
      </c>
      <c r="D150" s="46">
        <v>19</v>
      </c>
      <c r="E150" s="46">
        <v>20</v>
      </c>
      <c r="F150" s="47">
        <v>44392</v>
      </c>
      <c r="G150" s="48" t="s">
        <v>89</v>
      </c>
      <c r="H150" s="48" t="s">
        <v>89</v>
      </c>
      <c r="I150" s="46" t="s">
        <v>89</v>
      </c>
      <c r="J150" s="46" t="s">
        <v>89</v>
      </c>
      <c r="K150" s="46" t="s">
        <v>89</v>
      </c>
      <c r="L150" s="46" t="s">
        <v>89</v>
      </c>
      <c r="M150" s="46" t="s">
        <v>89</v>
      </c>
      <c r="N150" s="46" t="s">
        <v>89</v>
      </c>
      <c r="O150" s="46" t="s">
        <v>89</v>
      </c>
      <c r="P150" s="46" t="s">
        <v>89</v>
      </c>
      <c r="Q150" s="46" t="s">
        <v>89</v>
      </c>
      <c r="R150" s="46" t="s">
        <v>89</v>
      </c>
      <c r="S150" s="46" t="s">
        <v>89</v>
      </c>
      <c r="T150" s="46" t="s">
        <v>89</v>
      </c>
      <c r="U150" s="46">
        <v>69</v>
      </c>
      <c r="V150" s="46">
        <f>W150+Z150</f>
        <v>63</v>
      </c>
      <c r="W150" s="46">
        <v>63</v>
      </c>
      <c r="X150" s="46">
        <f>W150-Y150</f>
        <v>63</v>
      </c>
      <c r="Y150" s="46">
        <v>0</v>
      </c>
      <c r="Z150" s="46">
        <f t="shared" ref="Z150:Z157" si="68">SUM(AA150:AG150)</f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f t="shared" ref="AH150:AH157" si="69">SUM(AI150:AL150)</f>
        <v>6</v>
      </c>
      <c r="AI150" s="46">
        <v>6</v>
      </c>
      <c r="AJ150" s="46">
        <v>0</v>
      </c>
      <c r="AK150" s="46">
        <v>0</v>
      </c>
      <c r="AL150" s="46">
        <v>0</v>
      </c>
      <c r="AM150" s="49">
        <v>1</v>
      </c>
      <c r="AN150" s="47">
        <v>44457</v>
      </c>
      <c r="AO150" s="46"/>
      <c r="AP150" s="46"/>
      <c r="AQ150" s="50">
        <f t="shared" si="4"/>
        <v>65</v>
      </c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52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</row>
    <row r="151" spans="1:81" ht="15" customHeight="1" x14ac:dyDescent="0.25">
      <c r="A151" s="46" t="s">
        <v>238</v>
      </c>
      <c r="B151" s="46" t="s">
        <v>93</v>
      </c>
      <c r="C151" s="46" t="s">
        <v>89</v>
      </c>
      <c r="D151" s="46">
        <v>28</v>
      </c>
      <c r="E151" s="46">
        <v>29</v>
      </c>
      <c r="F151" s="47">
        <v>44392</v>
      </c>
      <c r="G151" s="48" t="s">
        <v>89</v>
      </c>
      <c r="H151" s="48" t="s">
        <v>89</v>
      </c>
      <c r="I151" s="46" t="s">
        <v>89</v>
      </c>
      <c r="J151" s="46" t="s">
        <v>89</v>
      </c>
      <c r="K151" s="46" t="s">
        <v>89</v>
      </c>
      <c r="L151" s="46" t="s">
        <v>89</v>
      </c>
      <c r="M151" s="46" t="s">
        <v>89</v>
      </c>
      <c r="N151" s="46" t="s">
        <v>89</v>
      </c>
      <c r="O151" s="46" t="s">
        <v>89</v>
      </c>
      <c r="P151" s="46" t="s">
        <v>89</v>
      </c>
      <c r="Q151" s="46" t="s">
        <v>89</v>
      </c>
      <c r="R151" s="46" t="s">
        <v>89</v>
      </c>
      <c r="S151" s="46" t="s">
        <v>89</v>
      </c>
      <c r="T151" s="46" t="s">
        <v>89</v>
      </c>
      <c r="U151" s="46" t="s">
        <v>89</v>
      </c>
      <c r="V151" s="46" t="s">
        <v>89</v>
      </c>
      <c r="W151" s="46" t="s">
        <v>89</v>
      </c>
      <c r="X151" s="46" t="s">
        <v>89</v>
      </c>
      <c r="Y151" s="46" t="s">
        <v>89</v>
      </c>
      <c r="Z151" s="46">
        <f t="shared" si="68"/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f t="shared" si="69"/>
        <v>0</v>
      </c>
      <c r="AI151" s="46" t="s">
        <v>89</v>
      </c>
      <c r="AJ151" s="46" t="s">
        <v>89</v>
      </c>
      <c r="AK151" s="46">
        <v>0</v>
      </c>
      <c r="AL151" s="46">
        <v>0</v>
      </c>
      <c r="AM151" s="49">
        <v>1</v>
      </c>
      <c r="AN151" s="46" t="s">
        <v>89</v>
      </c>
      <c r="AO151" s="46"/>
      <c r="AP151" s="46"/>
      <c r="AQ151" s="50" t="str">
        <f t="shared" si="4"/>
        <v>N.A.</v>
      </c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52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</row>
    <row r="152" spans="1:81" ht="15" customHeight="1" x14ac:dyDescent="0.25">
      <c r="A152" s="46" t="s">
        <v>239</v>
      </c>
      <c r="B152" s="46" t="s">
        <v>88</v>
      </c>
      <c r="C152" s="46" t="s">
        <v>89</v>
      </c>
      <c r="D152" s="46">
        <v>154</v>
      </c>
      <c r="E152" s="46">
        <v>155</v>
      </c>
      <c r="F152" s="47">
        <v>44392</v>
      </c>
      <c r="G152" s="48" t="s">
        <v>89</v>
      </c>
      <c r="H152" s="48" t="s">
        <v>89</v>
      </c>
      <c r="I152" s="48" t="s">
        <v>89</v>
      </c>
      <c r="J152" s="48" t="s">
        <v>89</v>
      </c>
      <c r="K152" s="48" t="s">
        <v>89</v>
      </c>
      <c r="L152" s="48" t="s">
        <v>89</v>
      </c>
      <c r="M152" s="48" t="s">
        <v>89</v>
      </c>
      <c r="N152" s="48" t="s">
        <v>89</v>
      </c>
      <c r="O152" s="48" t="s">
        <v>89</v>
      </c>
      <c r="P152" s="48" t="s">
        <v>89</v>
      </c>
      <c r="Q152" s="48" t="s">
        <v>89</v>
      </c>
      <c r="R152" s="48" t="s">
        <v>89</v>
      </c>
      <c r="S152" s="48" t="s">
        <v>89</v>
      </c>
      <c r="T152" s="48" t="s">
        <v>89</v>
      </c>
      <c r="U152" s="46">
        <v>15</v>
      </c>
      <c r="V152" s="46">
        <f t="shared" ref="V152:V156" si="70">W152+Z152</f>
        <v>5</v>
      </c>
      <c r="W152" s="46">
        <v>0</v>
      </c>
      <c r="X152" s="46">
        <f t="shared" ref="X152:X156" si="71">W152-Y152</f>
        <v>0</v>
      </c>
      <c r="Y152" s="46">
        <v>0</v>
      </c>
      <c r="Z152" s="46">
        <f t="shared" si="68"/>
        <v>5</v>
      </c>
      <c r="AA152" s="46">
        <v>0</v>
      </c>
      <c r="AB152" s="46">
        <v>0</v>
      </c>
      <c r="AC152" s="46">
        <v>5</v>
      </c>
      <c r="AD152" s="46">
        <v>0</v>
      </c>
      <c r="AE152" s="46">
        <v>0</v>
      </c>
      <c r="AF152" s="46">
        <v>0</v>
      </c>
      <c r="AG152" s="46">
        <v>0</v>
      </c>
      <c r="AH152" s="46">
        <f t="shared" si="69"/>
        <v>10</v>
      </c>
      <c r="AI152" s="46">
        <v>10</v>
      </c>
      <c r="AJ152" s="46">
        <v>0</v>
      </c>
      <c r="AK152" s="46">
        <v>0</v>
      </c>
      <c r="AL152" s="46">
        <v>0</v>
      </c>
      <c r="AM152" s="49">
        <v>1</v>
      </c>
      <c r="AN152" s="47">
        <v>44448</v>
      </c>
      <c r="AO152" s="47">
        <v>44440</v>
      </c>
      <c r="AP152" s="47"/>
      <c r="AQ152" s="50">
        <f t="shared" si="4"/>
        <v>56</v>
      </c>
      <c r="AR152" s="47">
        <v>44441</v>
      </c>
      <c r="AS152" s="47"/>
      <c r="AT152" s="46" t="s">
        <v>155</v>
      </c>
      <c r="AU152" s="47">
        <v>44443</v>
      </c>
      <c r="AV152" s="47"/>
      <c r="AW152" s="46" t="s">
        <v>108</v>
      </c>
      <c r="AX152" s="47">
        <v>44444</v>
      </c>
      <c r="AY152" s="46"/>
      <c r="AZ152" s="46" t="s">
        <v>155</v>
      </c>
      <c r="BA152" s="47">
        <v>44446</v>
      </c>
      <c r="BB152" s="46"/>
      <c r="BC152" s="47"/>
      <c r="BD152" s="46"/>
      <c r="BE152" s="46"/>
      <c r="BF152" s="47"/>
      <c r="BG152" s="46"/>
      <c r="BH152" s="46"/>
      <c r="BI152" s="46"/>
      <c r="BJ152" s="52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</row>
    <row r="153" spans="1:81" ht="15" customHeight="1" x14ac:dyDescent="0.25">
      <c r="A153" s="46" t="s">
        <v>240</v>
      </c>
      <c r="B153" s="46" t="s">
        <v>88</v>
      </c>
      <c r="C153" s="46" t="s">
        <v>89</v>
      </c>
      <c r="D153" s="46">
        <v>154</v>
      </c>
      <c r="E153" s="46">
        <v>155</v>
      </c>
      <c r="F153" s="47">
        <v>44392</v>
      </c>
      <c r="G153" s="48" t="s">
        <v>89</v>
      </c>
      <c r="H153" s="48" t="s">
        <v>89</v>
      </c>
      <c r="I153" s="46" t="s">
        <v>89</v>
      </c>
      <c r="J153" s="46" t="s">
        <v>89</v>
      </c>
      <c r="K153" s="46" t="s">
        <v>89</v>
      </c>
      <c r="L153" s="46" t="s">
        <v>89</v>
      </c>
      <c r="M153" s="46" t="s">
        <v>89</v>
      </c>
      <c r="N153" s="46" t="s">
        <v>89</v>
      </c>
      <c r="O153" s="46" t="s">
        <v>89</v>
      </c>
      <c r="P153" s="46" t="s">
        <v>89</v>
      </c>
      <c r="Q153" s="46" t="s">
        <v>89</v>
      </c>
      <c r="R153" s="46" t="s">
        <v>89</v>
      </c>
      <c r="S153" s="46" t="s">
        <v>89</v>
      </c>
      <c r="T153" s="46" t="s">
        <v>89</v>
      </c>
      <c r="U153" s="46">
        <v>82</v>
      </c>
      <c r="V153" s="46">
        <f t="shared" si="70"/>
        <v>72</v>
      </c>
      <c r="W153" s="46">
        <v>72</v>
      </c>
      <c r="X153" s="46">
        <f t="shared" si="71"/>
        <v>72</v>
      </c>
      <c r="Y153" s="46">
        <v>0</v>
      </c>
      <c r="Z153" s="46">
        <f t="shared" si="68"/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f t="shared" si="69"/>
        <v>10</v>
      </c>
      <c r="AI153" s="46">
        <v>10</v>
      </c>
      <c r="AJ153" s="46">
        <v>0</v>
      </c>
      <c r="AK153" s="46">
        <v>0</v>
      </c>
      <c r="AL153" s="46">
        <v>0</v>
      </c>
      <c r="AM153" s="49">
        <v>1</v>
      </c>
      <c r="AN153" s="46" t="s">
        <v>241</v>
      </c>
      <c r="AO153" s="47"/>
      <c r="AP153" s="47"/>
      <c r="AQ153" s="50" t="e">
        <f t="shared" si="4"/>
        <v>#VALUE!</v>
      </c>
      <c r="AR153" s="47"/>
      <c r="AS153" s="47"/>
      <c r="AT153" s="47"/>
      <c r="AU153" s="47"/>
      <c r="AV153" s="47"/>
      <c r="AW153" s="47"/>
      <c r="AX153" s="47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52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</row>
    <row r="154" spans="1:81" ht="15" customHeight="1" x14ac:dyDescent="0.25">
      <c r="A154" s="46" t="s">
        <v>242</v>
      </c>
      <c r="B154" s="46" t="s">
        <v>88</v>
      </c>
      <c r="C154" s="46" t="s">
        <v>89</v>
      </c>
      <c r="D154" s="46">
        <v>149</v>
      </c>
      <c r="E154" s="46">
        <v>150</v>
      </c>
      <c r="F154" s="47">
        <v>44392</v>
      </c>
      <c r="G154" s="48" t="s">
        <v>89</v>
      </c>
      <c r="H154" s="48" t="s">
        <v>89</v>
      </c>
      <c r="I154" s="46" t="s">
        <v>89</v>
      </c>
      <c r="J154" s="46" t="s">
        <v>89</v>
      </c>
      <c r="K154" s="46" t="s">
        <v>89</v>
      </c>
      <c r="L154" s="46" t="s">
        <v>89</v>
      </c>
      <c r="M154" s="46" t="s">
        <v>89</v>
      </c>
      <c r="N154" s="46" t="s">
        <v>89</v>
      </c>
      <c r="O154" s="46" t="s">
        <v>89</v>
      </c>
      <c r="P154" s="46" t="s">
        <v>89</v>
      </c>
      <c r="Q154" s="46" t="s">
        <v>89</v>
      </c>
      <c r="R154" s="46" t="s">
        <v>89</v>
      </c>
      <c r="S154" s="46" t="s">
        <v>89</v>
      </c>
      <c r="T154" s="46" t="s">
        <v>89</v>
      </c>
      <c r="U154" s="46">
        <v>102</v>
      </c>
      <c r="V154" s="46">
        <f t="shared" si="70"/>
        <v>95</v>
      </c>
      <c r="W154" s="46">
        <v>92</v>
      </c>
      <c r="X154" s="46">
        <f t="shared" si="71"/>
        <v>92</v>
      </c>
      <c r="Y154" s="46">
        <v>0</v>
      </c>
      <c r="Z154" s="46">
        <f t="shared" si="68"/>
        <v>3</v>
      </c>
      <c r="AA154" s="46">
        <v>0</v>
      </c>
      <c r="AB154" s="46">
        <v>0</v>
      </c>
      <c r="AC154" s="46">
        <v>0</v>
      </c>
      <c r="AD154" s="46">
        <v>2</v>
      </c>
      <c r="AE154" s="46">
        <v>1</v>
      </c>
      <c r="AF154" s="46">
        <v>0</v>
      </c>
      <c r="AG154" s="46">
        <v>0</v>
      </c>
      <c r="AH154" s="46">
        <f t="shared" si="69"/>
        <v>7</v>
      </c>
      <c r="AI154" s="46">
        <v>7</v>
      </c>
      <c r="AJ154" s="46">
        <v>0</v>
      </c>
      <c r="AK154" s="46">
        <v>0</v>
      </c>
      <c r="AL154" s="46">
        <v>0</v>
      </c>
      <c r="AM154" s="49">
        <v>1</v>
      </c>
      <c r="AN154" s="46" t="s">
        <v>89</v>
      </c>
      <c r="AO154" s="47"/>
      <c r="AP154" s="47"/>
      <c r="AQ154" s="50" t="str">
        <f t="shared" si="4"/>
        <v>N.A.</v>
      </c>
      <c r="AR154" s="47"/>
      <c r="AS154" s="47"/>
      <c r="AT154" s="47"/>
      <c r="AU154" s="47"/>
      <c r="AV154" s="47"/>
      <c r="AW154" s="47"/>
      <c r="AX154" s="47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52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</row>
    <row r="155" spans="1:81" ht="15" customHeight="1" x14ac:dyDescent="0.25">
      <c r="A155" s="46" t="s">
        <v>243</v>
      </c>
      <c r="B155" s="46" t="s">
        <v>93</v>
      </c>
      <c r="C155" s="46" t="s">
        <v>89</v>
      </c>
      <c r="D155" s="46">
        <v>52</v>
      </c>
      <c r="E155" s="46">
        <v>53</v>
      </c>
      <c r="F155" s="47">
        <v>44392</v>
      </c>
      <c r="G155" s="48" t="s">
        <v>89</v>
      </c>
      <c r="H155" s="48" t="s">
        <v>89</v>
      </c>
      <c r="I155" s="46" t="s">
        <v>89</v>
      </c>
      <c r="J155" s="46" t="s">
        <v>89</v>
      </c>
      <c r="K155" s="46" t="s">
        <v>89</v>
      </c>
      <c r="L155" s="46" t="s">
        <v>89</v>
      </c>
      <c r="M155" s="46" t="s">
        <v>89</v>
      </c>
      <c r="N155" s="46" t="s">
        <v>89</v>
      </c>
      <c r="O155" s="46" t="s">
        <v>89</v>
      </c>
      <c r="P155" s="46" t="s">
        <v>89</v>
      </c>
      <c r="Q155" s="46" t="s">
        <v>89</v>
      </c>
      <c r="R155" s="46" t="s">
        <v>89</v>
      </c>
      <c r="S155" s="46" t="s">
        <v>89</v>
      </c>
      <c r="T155" s="46" t="s">
        <v>89</v>
      </c>
      <c r="U155" s="46">
        <v>100</v>
      </c>
      <c r="V155" s="46">
        <f t="shared" si="70"/>
        <v>95</v>
      </c>
      <c r="W155" s="46">
        <v>92</v>
      </c>
      <c r="X155" s="46">
        <f t="shared" si="71"/>
        <v>92</v>
      </c>
      <c r="Y155" s="46">
        <v>0</v>
      </c>
      <c r="Z155" s="46">
        <f t="shared" si="68"/>
        <v>3</v>
      </c>
      <c r="AA155" s="46">
        <v>1</v>
      </c>
      <c r="AB155" s="46">
        <v>0</v>
      </c>
      <c r="AC155" s="46">
        <v>2</v>
      </c>
      <c r="AD155" s="46">
        <v>0</v>
      </c>
      <c r="AE155" s="46">
        <v>0</v>
      </c>
      <c r="AF155" s="46">
        <v>0</v>
      </c>
      <c r="AG155" s="46">
        <v>0</v>
      </c>
      <c r="AH155" s="46">
        <f t="shared" si="69"/>
        <v>5</v>
      </c>
      <c r="AI155" s="46">
        <v>5</v>
      </c>
      <c r="AJ155" s="46">
        <v>0</v>
      </c>
      <c r="AK155" s="46">
        <v>0</v>
      </c>
      <c r="AL155" s="46">
        <v>0</v>
      </c>
      <c r="AM155" s="49">
        <v>1</v>
      </c>
      <c r="AN155" s="47">
        <v>44453</v>
      </c>
      <c r="AO155" s="47">
        <v>44446</v>
      </c>
      <c r="AP155" s="47"/>
      <c r="AQ155" s="50">
        <f t="shared" si="4"/>
        <v>61</v>
      </c>
      <c r="AR155" s="47">
        <v>44454</v>
      </c>
      <c r="AS155" s="47"/>
      <c r="AT155" s="47"/>
      <c r="AU155" s="47"/>
      <c r="AV155" s="47"/>
      <c r="AW155" s="47"/>
      <c r="AX155" s="47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52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</row>
    <row r="156" spans="1:81" ht="15" customHeight="1" x14ac:dyDescent="0.25">
      <c r="A156" s="46" t="s">
        <v>244</v>
      </c>
      <c r="B156" s="46" t="s">
        <v>93</v>
      </c>
      <c r="C156" s="46" t="s">
        <v>89</v>
      </c>
      <c r="D156" s="46">
        <v>46</v>
      </c>
      <c r="E156" s="46">
        <v>47</v>
      </c>
      <c r="F156" s="47">
        <v>44392</v>
      </c>
      <c r="G156" s="48" t="s">
        <v>89</v>
      </c>
      <c r="H156" s="48" t="s">
        <v>89</v>
      </c>
      <c r="I156" s="46" t="s">
        <v>89</v>
      </c>
      <c r="J156" s="46" t="s">
        <v>89</v>
      </c>
      <c r="K156" s="46" t="s">
        <v>89</v>
      </c>
      <c r="L156" s="46" t="s">
        <v>89</v>
      </c>
      <c r="M156" s="46" t="s">
        <v>89</v>
      </c>
      <c r="N156" s="46" t="s">
        <v>89</v>
      </c>
      <c r="O156" s="46" t="s">
        <v>89</v>
      </c>
      <c r="P156" s="46" t="s">
        <v>89</v>
      </c>
      <c r="Q156" s="46" t="s">
        <v>89</v>
      </c>
      <c r="R156" s="46" t="s">
        <v>89</v>
      </c>
      <c r="S156" s="46" t="s">
        <v>89</v>
      </c>
      <c r="T156" s="46" t="s">
        <v>89</v>
      </c>
      <c r="U156" s="46">
        <v>18</v>
      </c>
      <c r="V156" s="46">
        <f t="shared" si="70"/>
        <v>18</v>
      </c>
      <c r="W156" s="46">
        <v>0</v>
      </c>
      <c r="X156" s="46">
        <f t="shared" si="71"/>
        <v>0</v>
      </c>
      <c r="Y156" s="46">
        <v>0</v>
      </c>
      <c r="Z156" s="46">
        <f t="shared" si="68"/>
        <v>18</v>
      </c>
      <c r="AA156" s="46">
        <v>0</v>
      </c>
      <c r="AB156" s="46">
        <v>0</v>
      </c>
      <c r="AC156" s="46">
        <v>18</v>
      </c>
      <c r="AD156" s="46">
        <v>0</v>
      </c>
      <c r="AE156" s="46">
        <v>0</v>
      </c>
      <c r="AF156" s="46">
        <v>0</v>
      </c>
      <c r="AG156" s="46">
        <v>0</v>
      </c>
      <c r="AH156" s="46">
        <f t="shared" si="69"/>
        <v>0</v>
      </c>
      <c r="AI156" s="46">
        <v>0</v>
      </c>
      <c r="AJ156" s="46">
        <v>0</v>
      </c>
      <c r="AK156" s="46">
        <v>0</v>
      </c>
      <c r="AL156" s="46">
        <v>0</v>
      </c>
      <c r="AM156" s="49">
        <v>1</v>
      </c>
      <c r="AN156" s="47">
        <v>44453</v>
      </c>
      <c r="AO156" s="47"/>
      <c r="AP156" s="47"/>
      <c r="AQ156" s="50">
        <f t="shared" si="4"/>
        <v>61</v>
      </c>
      <c r="AR156" s="47"/>
      <c r="AS156" s="47"/>
      <c r="AT156" s="47"/>
      <c r="AU156" s="47"/>
      <c r="AV156" s="47"/>
      <c r="AW156" s="47"/>
      <c r="AX156" s="47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52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</row>
    <row r="157" spans="1:81" ht="15" customHeight="1" x14ac:dyDescent="0.25">
      <c r="A157" s="46" t="s">
        <v>245</v>
      </c>
      <c r="B157" s="46" t="s">
        <v>93</v>
      </c>
      <c r="C157" s="46" t="s">
        <v>89</v>
      </c>
      <c r="D157" s="46">
        <v>18</v>
      </c>
      <c r="E157" s="46">
        <v>19</v>
      </c>
      <c r="F157" s="47">
        <v>44392</v>
      </c>
      <c r="G157" s="48" t="s">
        <v>89</v>
      </c>
      <c r="H157" s="48" t="s">
        <v>89</v>
      </c>
      <c r="I157" s="46" t="s">
        <v>89</v>
      </c>
      <c r="J157" s="46" t="s">
        <v>89</v>
      </c>
      <c r="K157" s="46" t="s">
        <v>89</v>
      </c>
      <c r="L157" s="46" t="s">
        <v>89</v>
      </c>
      <c r="M157" s="46" t="s">
        <v>89</v>
      </c>
      <c r="N157" s="46" t="s">
        <v>89</v>
      </c>
      <c r="O157" s="46" t="s">
        <v>89</v>
      </c>
      <c r="P157" s="46" t="s">
        <v>89</v>
      </c>
      <c r="Q157" s="46" t="s">
        <v>89</v>
      </c>
      <c r="R157" s="46" t="s">
        <v>89</v>
      </c>
      <c r="S157" s="46" t="s">
        <v>89</v>
      </c>
      <c r="T157" s="46" t="s">
        <v>89</v>
      </c>
      <c r="U157" s="46" t="s">
        <v>89</v>
      </c>
      <c r="V157" s="46" t="s">
        <v>89</v>
      </c>
      <c r="W157" s="46" t="s">
        <v>89</v>
      </c>
      <c r="X157" s="46" t="s">
        <v>89</v>
      </c>
      <c r="Y157" s="46" t="s">
        <v>89</v>
      </c>
      <c r="Z157" s="46">
        <f t="shared" si="68"/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f t="shared" si="69"/>
        <v>0</v>
      </c>
      <c r="AI157" s="46" t="s">
        <v>89</v>
      </c>
      <c r="AJ157" s="46" t="s">
        <v>89</v>
      </c>
      <c r="AK157" s="46">
        <v>0</v>
      </c>
      <c r="AL157" s="46">
        <v>0</v>
      </c>
      <c r="AM157" s="49">
        <v>1</v>
      </c>
      <c r="AN157" s="46" t="s">
        <v>89</v>
      </c>
      <c r="AO157" s="47"/>
      <c r="AP157" s="47"/>
      <c r="AQ157" s="50" t="str">
        <f t="shared" si="4"/>
        <v>N.A.</v>
      </c>
      <c r="AR157" s="47"/>
      <c r="AS157" s="47"/>
      <c r="AT157" s="47"/>
      <c r="AU157" s="47"/>
      <c r="AV157" s="47"/>
      <c r="AW157" s="47"/>
      <c r="AX157" s="47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52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</row>
    <row r="158" spans="1:81" ht="15" customHeight="1" x14ac:dyDescent="0.25">
      <c r="A158" s="46" t="s">
        <v>246</v>
      </c>
      <c r="B158" s="46" t="s">
        <v>88</v>
      </c>
      <c r="C158" s="46" t="s">
        <v>89</v>
      </c>
      <c r="D158" s="46">
        <v>7</v>
      </c>
      <c r="E158" s="46">
        <v>8</v>
      </c>
      <c r="F158" s="47">
        <v>44393</v>
      </c>
      <c r="G158" s="48" t="s">
        <v>89</v>
      </c>
      <c r="H158" s="48" t="s">
        <v>89</v>
      </c>
      <c r="I158" s="46" t="s">
        <v>89</v>
      </c>
      <c r="J158" s="46" t="s">
        <v>89</v>
      </c>
      <c r="K158" s="46" t="s">
        <v>89</v>
      </c>
      <c r="L158" s="46" t="s">
        <v>89</v>
      </c>
      <c r="M158" s="46" t="s">
        <v>89</v>
      </c>
      <c r="N158" s="46" t="s">
        <v>89</v>
      </c>
      <c r="O158" s="46" t="s">
        <v>89</v>
      </c>
      <c r="P158" s="46" t="s">
        <v>89</v>
      </c>
      <c r="Q158" s="46" t="s">
        <v>89</v>
      </c>
      <c r="R158" s="46" t="s">
        <v>89</v>
      </c>
      <c r="S158" s="46" t="s">
        <v>89</v>
      </c>
      <c r="T158" s="46" t="s">
        <v>89</v>
      </c>
      <c r="U158" s="46" t="s">
        <v>89</v>
      </c>
      <c r="V158" s="46" t="s">
        <v>89</v>
      </c>
      <c r="W158" s="46" t="s">
        <v>89</v>
      </c>
      <c r="X158" s="46" t="s">
        <v>89</v>
      </c>
      <c r="Y158" s="46" t="s">
        <v>89</v>
      </c>
      <c r="Z158" s="46" t="s">
        <v>89</v>
      </c>
      <c r="AA158" s="46" t="s">
        <v>89</v>
      </c>
      <c r="AB158" s="46" t="s">
        <v>89</v>
      </c>
      <c r="AC158" s="46" t="s">
        <v>89</v>
      </c>
      <c r="AD158" s="46" t="s">
        <v>89</v>
      </c>
      <c r="AE158" s="46" t="s">
        <v>89</v>
      </c>
      <c r="AF158" s="46" t="s">
        <v>89</v>
      </c>
      <c r="AG158" s="46" t="s">
        <v>89</v>
      </c>
      <c r="AH158" s="46" t="s">
        <v>89</v>
      </c>
      <c r="AI158" s="46" t="s">
        <v>89</v>
      </c>
      <c r="AJ158" s="46" t="s">
        <v>89</v>
      </c>
      <c r="AK158" s="46" t="s">
        <v>89</v>
      </c>
      <c r="AL158" s="46" t="s">
        <v>89</v>
      </c>
      <c r="AM158" s="46">
        <v>0</v>
      </c>
      <c r="AN158" s="46" t="s">
        <v>89</v>
      </c>
      <c r="AO158" s="47"/>
      <c r="AP158" s="47"/>
      <c r="AQ158" s="50" t="str">
        <f t="shared" si="4"/>
        <v>N.A.</v>
      </c>
      <c r="AR158" s="47"/>
      <c r="AS158" s="47"/>
      <c r="AT158" s="47"/>
      <c r="AU158" s="47"/>
      <c r="AV158" s="47"/>
      <c r="AW158" s="47"/>
      <c r="AX158" s="47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52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</row>
    <row r="159" spans="1:81" ht="15" customHeight="1" x14ac:dyDescent="0.25">
      <c r="A159" s="46" t="s">
        <v>247</v>
      </c>
      <c r="B159" s="46" t="s">
        <v>88</v>
      </c>
      <c r="C159" s="46" t="s">
        <v>89</v>
      </c>
      <c r="D159" s="46">
        <v>16</v>
      </c>
      <c r="E159" s="46">
        <v>17</v>
      </c>
      <c r="F159" s="47">
        <v>44393</v>
      </c>
      <c r="G159" s="48" t="s">
        <v>89</v>
      </c>
      <c r="H159" s="48" t="s">
        <v>89</v>
      </c>
      <c r="I159" s="46" t="s">
        <v>89</v>
      </c>
      <c r="J159" s="46" t="s">
        <v>89</v>
      </c>
      <c r="K159" s="46" t="s">
        <v>89</v>
      </c>
      <c r="L159" s="46" t="s">
        <v>89</v>
      </c>
      <c r="M159" s="46" t="s">
        <v>89</v>
      </c>
      <c r="N159" s="46" t="s">
        <v>89</v>
      </c>
      <c r="O159" s="46" t="s">
        <v>89</v>
      </c>
      <c r="P159" s="46" t="s">
        <v>89</v>
      </c>
      <c r="Q159" s="46" t="s">
        <v>89</v>
      </c>
      <c r="R159" s="46" t="s">
        <v>89</v>
      </c>
      <c r="S159" s="46" t="s">
        <v>89</v>
      </c>
      <c r="T159" s="46" t="s">
        <v>89</v>
      </c>
      <c r="U159" s="46">
        <v>92</v>
      </c>
      <c r="V159" s="46">
        <f>W159+Z159</f>
        <v>90</v>
      </c>
      <c r="W159" s="46">
        <v>81</v>
      </c>
      <c r="X159" s="46">
        <f>W159-Y159</f>
        <v>79</v>
      </c>
      <c r="Y159" s="46">
        <v>2</v>
      </c>
      <c r="Z159" s="46">
        <f>SUM(AA159:AG159)</f>
        <v>9</v>
      </c>
      <c r="AA159" s="46">
        <v>5</v>
      </c>
      <c r="AB159" s="46">
        <v>0</v>
      </c>
      <c r="AC159" s="46">
        <v>0</v>
      </c>
      <c r="AD159" s="46">
        <v>4</v>
      </c>
      <c r="AE159" s="46">
        <v>0</v>
      </c>
      <c r="AF159" s="46">
        <v>0</v>
      </c>
      <c r="AG159" s="46">
        <v>0</v>
      </c>
      <c r="AH159" s="46">
        <f>SUM(AI159:AL159)</f>
        <v>2</v>
      </c>
      <c r="AI159" s="46">
        <v>2</v>
      </c>
      <c r="AJ159" s="46">
        <v>0</v>
      </c>
      <c r="AK159" s="46">
        <v>0</v>
      </c>
      <c r="AL159" s="46">
        <v>0</v>
      </c>
      <c r="AM159" s="49">
        <v>1</v>
      </c>
      <c r="AN159" s="47">
        <v>44453</v>
      </c>
      <c r="AO159" s="47">
        <v>44446</v>
      </c>
      <c r="AP159" s="47"/>
      <c r="AQ159" s="50">
        <f t="shared" si="4"/>
        <v>60</v>
      </c>
      <c r="AR159" s="47"/>
      <c r="AS159" s="47"/>
      <c r="AT159" s="47"/>
      <c r="AU159" s="47"/>
      <c r="AV159" s="47"/>
      <c r="AW159" s="47"/>
      <c r="AX159" s="47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52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</row>
    <row r="160" spans="1:81" ht="15" customHeight="1" x14ac:dyDescent="0.25">
      <c r="A160" s="46" t="s">
        <v>248</v>
      </c>
      <c r="B160" s="46" t="s">
        <v>93</v>
      </c>
      <c r="C160" s="46" t="s">
        <v>89</v>
      </c>
      <c r="D160" s="46">
        <v>18</v>
      </c>
      <c r="E160" s="46">
        <v>19</v>
      </c>
      <c r="F160" s="47">
        <v>44393</v>
      </c>
      <c r="G160" s="48" t="s">
        <v>89</v>
      </c>
      <c r="H160" s="48" t="s">
        <v>89</v>
      </c>
      <c r="I160" s="46" t="s">
        <v>89</v>
      </c>
      <c r="J160" s="46" t="s">
        <v>89</v>
      </c>
      <c r="K160" s="46" t="s">
        <v>89</v>
      </c>
      <c r="L160" s="46" t="s">
        <v>89</v>
      </c>
      <c r="M160" s="46" t="s">
        <v>89</v>
      </c>
      <c r="N160" s="46" t="s">
        <v>89</v>
      </c>
      <c r="O160" s="46" t="s">
        <v>89</v>
      </c>
      <c r="P160" s="46" t="s">
        <v>89</v>
      </c>
      <c r="Q160" s="46" t="s">
        <v>89</v>
      </c>
      <c r="R160" s="46" t="s">
        <v>89</v>
      </c>
      <c r="S160" s="46" t="s">
        <v>89</v>
      </c>
      <c r="T160" s="46" t="s">
        <v>89</v>
      </c>
      <c r="U160" s="46" t="s">
        <v>89</v>
      </c>
      <c r="V160" s="46" t="s">
        <v>89</v>
      </c>
      <c r="W160" s="46" t="s">
        <v>89</v>
      </c>
      <c r="X160" s="46" t="s">
        <v>89</v>
      </c>
      <c r="Y160" s="46" t="s">
        <v>89</v>
      </c>
      <c r="Z160" s="46" t="s">
        <v>89</v>
      </c>
      <c r="AA160" s="46" t="s">
        <v>89</v>
      </c>
      <c r="AB160" s="46" t="s">
        <v>89</v>
      </c>
      <c r="AC160" s="46" t="s">
        <v>89</v>
      </c>
      <c r="AD160" s="46" t="s">
        <v>89</v>
      </c>
      <c r="AE160" s="46" t="s">
        <v>89</v>
      </c>
      <c r="AF160" s="46" t="s">
        <v>89</v>
      </c>
      <c r="AG160" s="46" t="s">
        <v>89</v>
      </c>
      <c r="AH160" s="46" t="s">
        <v>89</v>
      </c>
      <c r="AI160" s="46" t="s">
        <v>89</v>
      </c>
      <c r="AJ160" s="46" t="s">
        <v>89</v>
      </c>
      <c r="AK160" s="46" t="s">
        <v>89</v>
      </c>
      <c r="AL160" s="46" t="s">
        <v>89</v>
      </c>
      <c r="AM160" s="49">
        <v>1</v>
      </c>
      <c r="AN160" s="46" t="s">
        <v>89</v>
      </c>
      <c r="AO160" s="47"/>
      <c r="AP160" s="47"/>
      <c r="AQ160" s="50" t="str">
        <f t="shared" si="4"/>
        <v>N.A.</v>
      </c>
      <c r="AR160" s="47"/>
      <c r="AS160" s="47"/>
      <c r="AT160" s="47"/>
      <c r="AU160" s="47"/>
      <c r="AV160" s="47"/>
      <c r="AW160" s="47"/>
      <c r="AX160" s="47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52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</row>
    <row r="161" spans="1:81" ht="15" customHeight="1" x14ac:dyDescent="0.25">
      <c r="A161" s="46" t="s">
        <v>249</v>
      </c>
      <c r="B161" s="46" t="s">
        <v>88</v>
      </c>
      <c r="C161" s="46" t="s">
        <v>89</v>
      </c>
      <c r="D161" s="46">
        <v>149</v>
      </c>
      <c r="E161" s="46">
        <v>150</v>
      </c>
      <c r="F161" s="47">
        <v>44393</v>
      </c>
      <c r="G161" s="48" t="s">
        <v>89</v>
      </c>
      <c r="H161" s="48" t="s">
        <v>89</v>
      </c>
      <c r="I161" s="46" t="s">
        <v>89</v>
      </c>
      <c r="J161" s="46" t="s">
        <v>89</v>
      </c>
      <c r="K161" s="46" t="s">
        <v>89</v>
      </c>
      <c r="L161" s="46" t="s">
        <v>89</v>
      </c>
      <c r="M161" s="46" t="s">
        <v>89</v>
      </c>
      <c r="N161" s="46" t="s">
        <v>89</v>
      </c>
      <c r="O161" s="46" t="s">
        <v>89</v>
      </c>
      <c r="P161" s="46" t="s">
        <v>89</v>
      </c>
      <c r="Q161" s="46" t="s">
        <v>89</v>
      </c>
      <c r="R161" s="46" t="s">
        <v>89</v>
      </c>
      <c r="S161" s="46" t="s">
        <v>89</v>
      </c>
      <c r="T161" s="46" t="s">
        <v>89</v>
      </c>
      <c r="U161" s="46">
        <v>92</v>
      </c>
      <c r="V161" s="46">
        <f t="shared" ref="V161:V162" si="72">W161+Z161</f>
        <v>54</v>
      </c>
      <c r="W161" s="46">
        <v>50</v>
      </c>
      <c r="X161" s="46">
        <f t="shared" ref="X161:X162" si="73">W161-Y161</f>
        <v>50</v>
      </c>
      <c r="Y161" s="46">
        <v>0</v>
      </c>
      <c r="Z161" s="46">
        <f t="shared" ref="Z161:Z162" si="74">SUM(AA161:AG161)</f>
        <v>4</v>
      </c>
      <c r="AA161" s="46">
        <v>0</v>
      </c>
      <c r="AB161" s="46">
        <v>0</v>
      </c>
      <c r="AC161" s="46">
        <v>4</v>
      </c>
      <c r="AD161" s="46">
        <v>0</v>
      </c>
      <c r="AE161" s="46">
        <v>0</v>
      </c>
      <c r="AF161" s="46">
        <v>0</v>
      </c>
      <c r="AG161" s="46">
        <v>0</v>
      </c>
      <c r="AH161" s="46">
        <f t="shared" ref="AH161:AH162" si="75">SUM(AI161:AL161)</f>
        <v>38</v>
      </c>
      <c r="AI161" s="46">
        <v>31</v>
      </c>
      <c r="AJ161" s="46">
        <v>7</v>
      </c>
      <c r="AK161" s="46">
        <v>0</v>
      </c>
      <c r="AL161" s="46">
        <v>0</v>
      </c>
      <c r="AM161" s="49">
        <v>1</v>
      </c>
      <c r="AN161" s="47">
        <v>44461</v>
      </c>
      <c r="AO161" s="47">
        <v>44440</v>
      </c>
      <c r="AP161" s="47"/>
      <c r="AQ161" s="50">
        <f t="shared" si="4"/>
        <v>68</v>
      </c>
      <c r="AR161" s="47">
        <v>44441</v>
      </c>
      <c r="AS161" s="47"/>
      <c r="AT161" s="46" t="s">
        <v>108</v>
      </c>
      <c r="AU161" s="47">
        <v>44442</v>
      </c>
      <c r="AV161" s="47"/>
      <c r="AW161" s="46" t="s">
        <v>108</v>
      </c>
      <c r="AX161" s="47">
        <v>44443</v>
      </c>
      <c r="AY161" s="46"/>
      <c r="AZ161" s="46"/>
      <c r="BA161" s="46"/>
      <c r="BB161" s="46"/>
      <c r="BC161" s="47"/>
      <c r="BD161" s="46"/>
      <c r="BE161" s="46"/>
      <c r="BF161" s="46"/>
      <c r="BG161" s="46"/>
      <c r="BH161" s="46"/>
      <c r="BI161" s="46"/>
      <c r="BJ161" s="52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</row>
    <row r="162" spans="1:81" ht="15" customHeight="1" x14ac:dyDescent="0.25">
      <c r="A162" s="46" t="s">
        <v>250</v>
      </c>
      <c r="B162" s="46" t="s">
        <v>88</v>
      </c>
      <c r="C162" s="46" t="s">
        <v>89</v>
      </c>
      <c r="D162" s="46">
        <v>152</v>
      </c>
      <c r="E162" s="46">
        <v>153</v>
      </c>
      <c r="F162" s="47">
        <v>44393</v>
      </c>
      <c r="G162" s="48" t="s">
        <v>89</v>
      </c>
      <c r="H162" s="48" t="s">
        <v>89</v>
      </c>
      <c r="I162" s="46" t="s">
        <v>89</v>
      </c>
      <c r="J162" s="46" t="s">
        <v>89</v>
      </c>
      <c r="K162" s="46" t="s">
        <v>89</v>
      </c>
      <c r="L162" s="46" t="s">
        <v>89</v>
      </c>
      <c r="M162" s="46" t="s">
        <v>89</v>
      </c>
      <c r="N162" s="46" t="s">
        <v>89</v>
      </c>
      <c r="O162" s="46" t="s">
        <v>89</v>
      </c>
      <c r="P162" s="46" t="s">
        <v>89</v>
      </c>
      <c r="Q162" s="46" t="s">
        <v>89</v>
      </c>
      <c r="R162" s="46" t="s">
        <v>89</v>
      </c>
      <c r="S162" s="46" t="s">
        <v>89</v>
      </c>
      <c r="T162" s="46" t="s">
        <v>89</v>
      </c>
      <c r="U162" s="46">
        <v>67</v>
      </c>
      <c r="V162" s="46">
        <f t="shared" si="72"/>
        <v>66</v>
      </c>
      <c r="W162" s="46">
        <v>66</v>
      </c>
      <c r="X162" s="46">
        <f t="shared" si="73"/>
        <v>66</v>
      </c>
      <c r="Y162" s="46">
        <v>0</v>
      </c>
      <c r="Z162" s="46">
        <f t="shared" si="74"/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46">
        <f t="shared" si="75"/>
        <v>1</v>
      </c>
      <c r="AI162" s="46">
        <v>1</v>
      </c>
      <c r="AJ162" s="46">
        <v>0</v>
      </c>
      <c r="AK162" s="46">
        <v>0</v>
      </c>
      <c r="AL162" s="46">
        <v>0</v>
      </c>
      <c r="AM162" s="49">
        <v>1</v>
      </c>
      <c r="AN162" s="47">
        <v>44460</v>
      </c>
      <c r="AO162" s="47">
        <v>44448</v>
      </c>
      <c r="AP162" s="47"/>
      <c r="AQ162" s="50">
        <f t="shared" si="4"/>
        <v>67</v>
      </c>
      <c r="AR162" s="47">
        <v>44450</v>
      </c>
      <c r="AS162" s="47"/>
      <c r="AT162" s="47"/>
      <c r="AU162" s="47"/>
      <c r="AV162" s="47"/>
      <c r="AW162" s="47"/>
      <c r="AX162" s="47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52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</row>
    <row r="163" spans="1:81" ht="15" customHeight="1" x14ac:dyDescent="0.25">
      <c r="A163" s="46" t="s">
        <v>251</v>
      </c>
      <c r="B163" s="46" t="s">
        <v>93</v>
      </c>
      <c r="C163" s="46" t="s">
        <v>89</v>
      </c>
      <c r="D163" s="46">
        <v>84</v>
      </c>
      <c r="E163" s="46">
        <v>85</v>
      </c>
      <c r="F163" s="47">
        <v>44393</v>
      </c>
      <c r="G163" s="48" t="s">
        <v>89</v>
      </c>
      <c r="H163" s="48" t="s">
        <v>89</v>
      </c>
      <c r="I163" s="48" t="s">
        <v>89</v>
      </c>
      <c r="J163" s="48" t="s">
        <v>89</v>
      </c>
      <c r="K163" s="48" t="s">
        <v>89</v>
      </c>
      <c r="L163" s="48" t="s">
        <v>89</v>
      </c>
      <c r="M163" s="48" t="s">
        <v>89</v>
      </c>
      <c r="N163" s="48" t="s">
        <v>89</v>
      </c>
      <c r="O163" s="48" t="s">
        <v>89</v>
      </c>
      <c r="P163" s="48" t="s">
        <v>89</v>
      </c>
      <c r="Q163" s="48" t="s">
        <v>89</v>
      </c>
      <c r="R163" s="48" t="s">
        <v>89</v>
      </c>
      <c r="S163" s="48" t="s">
        <v>89</v>
      </c>
      <c r="T163" s="48" t="s">
        <v>89</v>
      </c>
      <c r="U163" s="48" t="s">
        <v>89</v>
      </c>
      <c r="V163" s="48" t="s">
        <v>89</v>
      </c>
      <c r="W163" s="48" t="s">
        <v>89</v>
      </c>
      <c r="X163" s="48" t="s">
        <v>89</v>
      </c>
      <c r="Y163" s="48" t="s">
        <v>89</v>
      </c>
      <c r="Z163" s="48" t="s">
        <v>89</v>
      </c>
      <c r="AA163" s="48" t="s">
        <v>89</v>
      </c>
      <c r="AB163" s="48" t="s">
        <v>89</v>
      </c>
      <c r="AC163" s="48" t="s">
        <v>89</v>
      </c>
      <c r="AD163" s="48" t="s">
        <v>89</v>
      </c>
      <c r="AE163" s="48" t="s">
        <v>89</v>
      </c>
      <c r="AF163" s="48" t="s">
        <v>89</v>
      </c>
      <c r="AG163" s="48" t="s">
        <v>89</v>
      </c>
      <c r="AH163" s="48" t="s">
        <v>89</v>
      </c>
      <c r="AI163" s="48" t="s">
        <v>89</v>
      </c>
      <c r="AJ163" s="48" t="s">
        <v>89</v>
      </c>
      <c r="AK163" s="48" t="s">
        <v>89</v>
      </c>
      <c r="AL163" s="48" t="s">
        <v>89</v>
      </c>
      <c r="AM163" s="49">
        <v>1</v>
      </c>
      <c r="AN163" s="46" t="s">
        <v>89</v>
      </c>
      <c r="AO163" s="47"/>
      <c r="AP163" s="47"/>
      <c r="AQ163" s="50" t="str">
        <f t="shared" si="4"/>
        <v>N.A.</v>
      </c>
      <c r="AR163" s="47"/>
      <c r="AS163" s="47"/>
      <c r="AT163" s="47"/>
      <c r="AU163" s="47"/>
      <c r="AV163" s="47"/>
      <c r="AW163" s="47"/>
      <c r="AX163" s="47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52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</row>
    <row r="164" spans="1:81" ht="15" customHeight="1" x14ac:dyDescent="0.25">
      <c r="A164" s="46" t="s">
        <v>252</v>
      </c>
      <c r="B164" s="46" t="s">
        <v>93</v>
      </c>
      <c r="C164" s="46" t="s">
        <v>89</v>
      </c>
      <c r="D164" s="46">
        <v>16</v>
      </c>
      <c r="E164" s="46">
        <v>17</v>
      </c>
      <c r="F164" s="47">
        <v>44394</v>
      </c>
      <c r="G164" s="48" t="s">
        <v>89</v>
      </c>
      <c r="H164" s="48" t="s">
        <v>89</v>
      </c>
      <c r="I164" s="46" t="s">
        <v>89</v>
      </c>
      <c r="J164" s="46" t="s">
        <v>89</v>
      </c>
      <c r="K164" s="46" t="s">
        <v>89</v>
      </c>
      <c r="L164" s="46" t="s">
        <v>89</v>
      </c>
      <c r="M164" s="46" t="s">
        <v>89</v>
      </c>
      <c r="N164" s="46" t="s">
        <v>89</v>
      </c>
      <c r="O164" s="46" t="s">
        <v>89</v>
      </c>
      <c r="P164" s="46" t="s">
        <v>89</v>
      </c>
      <c r="Q164" s="46" t="s">
        <v>89</v>
      </c>
      <c r="R164" s="46" t="s">
        <v>89</v>
      </c>
      <c r="S164" s="46" t="s">
        <v>89</v>
      </c>
      <c r="T164" s="46" t="s">
        <v>89</v>
      </c>
      <c r="U164" s="46">
        <v>92</v>
      </c>
      <c r="V164" s="46">
        <f t="shared" ref="V164:V167" si="76">W164+Z164</f>
        <v>81</v>
      </c>
      <c r="W164" s="46">
        <v>81</v>
      </c>
      <c r="X164" s="46">
        <f t="shared" ref="X164:X167" si="77">W164-Y164</f>
        <v>81</v>
      </c>
      <c r="Y164" s="46">
        <v>0</v>
      </c>
      <c r="Z164" s="46">
        <f t="shared" ref="Z164:Z169" si="78">SUM(AA164:AG164)</f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f t="shared" ref="AH164:AH169" si="79">SUM(AI164:AL164)</f>
        <v>0</v>
      </c>
      <c r="AI164" s="46">
        <v>0</v>
      </c>
      <c r="AJ164" s="46">
        <v>0</v>
      </c>
      <c r="AK164" s="46">
        <v>0</v>
      </c>
      <c r="AL164" s="46">
        <v>0</v>
      </c>
      <c r="AM164" s="49">
        <v>1</v>
      </c>
      <c r="AN164" s="46" t="s">
        <v>89</v>
      </c>
      <c r="AO164" s="47"/>
      <c r="AP164" s="47"/>
      <c r="AQ164" s="50" t="str">
        <f t="shared" si="4"/>
        <v>N.A.</v>
      </c>
      <c r="AR164" s="47"/>
      <c r="AS164" s="47"/>
      <c r="AT164" s="47"/>
      <c r="AU164" s="47"/>
      <c r="AV164" s="47"/>
      <c r="AW164" s="47"/>
      <c r="AX164" s="47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52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</row>
    <row r="165" spans="1:81" ht="15" customHeight="1" x14ac:dyDescent="0.25">
      <c r="A165" s="46" t="s">
        <v>253</v>
      </c>
      <c r="B165" s="46" t="s">
        <v>88</v>
      </c>
      <c r="C165" s="46" t="s">
        <v>89</v>
      </c>
      <c r="D165" s="46">
        <v>42</v>
      </c>
      <c r="E165" s="46">
        <v>43</v>
      </c>
      <c r="F165" s="47">
        <v>44394</v>
      </c>
      <c r="G165" s="48" t="s">
        <v>89</v>
      </c>
      <c r="H165" s="48" t="s">
        <v>89</v>
      </c>
      <c r="I165" s="46" t="s">
        <v>89</v>
      </c>
      <c r="J165" s="46" t="s">
        <v>89</v>
      </c>
      <c r="K165" s="46" t="s">
        <v>89</v>
      </c>
      <c r="L165" s="46" t="s">
        <v>89</v>
      </c>
      <c r="M165" s="46" t="s">
        <v>89</v>
      </c>
      <c r="N165" s="46" t="s">
        <v>89</v>
      </c>
      <c r="O165" s="46" t="s">
        <v>89</v>
      </c>
      <c r="P165" s="46" t="s">
        <v>89</v>
      </c>
      <c r="Q165" s="46" t="s">
        <v>89</v>
      </c>
      <c r="R165" s="46" t="s">
        <v>89</v>
      </c>
      <c r="S165" s="46" t="s">
        <v>89</v>
      </c>
      <c r="T165" s="46" t="s">
        <v>89</v>
      </c>
      <c r="U165" s="46">
        <v>91</v>
      </c>
      <c r="V165" s="46">
        <f t="shared" si="76"/>
        <v>90</v>
      </c>
      <c r="W165" s="46">
        <v>90</v>
      </c>
      <c r="X165" s="46">
        <f t="shared" si="77"/>
        <v>90</v>
      </c>
      <c r="Y165" s="46">
        <v>0</v>
      </c>
      <c r="Z165" s="46">
        <f t="shared" si="78"/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f t="shared" si="79"/>
        <v>1</v>
      </c>
      <c r="AI165" s="46">
        <v>1</v>
      </c>
      <c r="AJ165" s="46">
        <v>0</v>
      </c>
      <c r="AK165" s="46">
        <v>0</v>
      </c>
      <c r="AL165" s="46">
        <v>0</v>
      </c>
      <c r="AM165" s="49">
        <v>1</v>
      </c>
      <c r="AN165" s="47">
        <v>44447</v>
      </c>
      <c r="AO165" s="47">
        <v>44444</v>
      </c>
      <c r="AP165" s="47"/>
      <c r="AQ165" s="50">
        <f t="shared" si="4"/>
        <v>53</v>
      </c>
      <c r="AR165" s="47"/>
      <c r="AS165" s="47"/>
      <c r="AT165" s="47"/>
      <c r="AU165" s="47"/>
      <c r="AV165" s="47"/>
      <c r="AW165" s="47"/>
      <c r="AX165" s="47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52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</row>
    <row r="166" spans="1:81" ht="15" customHeight="1" x14ac:dyDescent="0.25">
      <c r="A166" s="46" t="s">
        <v>254</v>
      </c>
      <c r="B166" s="46" t="s">
        <v>93</v>
      </c>
      <c r="C166" s="46" t="s">
        <v>89</v>
      </c>
      <c r="D166" s="46">
        <v>106</v>
      </c>
      <c r="E166" s="46">
        <v>107</v>
      </c>
      <c r="F166" s="47">
        <v>44394</v>
      </c>
      <c r="G166" s="48" t="s">
        <v>89</v>
      </c>
      <c r="H166" s="48" t="s">
        <v>89</v>
      </c>
      <c r="I166" s="48" t="s">
        <v>89</v>
      </c>
      <c r="J166" s="48" t="s">
        <v>89</v>
      </c>
      <c r="K166" s="48" t="s">
        <v>89</v>
      </c>
      <c r="L166" s="48" t="s">
        <v>89</v>
      </c>
      <c r="M166" s="48" t="s">
        <v>89</v>
      </c>
      <c r="N166" s="48" t="s">
        <v>89</v>
      </c>
      <c r="O166" s="48" t="s">
        <v>89</v>
      </c>
      <c r="P166" s="48" t="s">
        <v>89</v>
      </c>
      <c r="Q166" s="48" t="s">
        <v>89</v>
      </c>
      <c r="R166" s="48" t="s">
        <v>89</v>
      </c>
      <c r="S166" s="48" t="s">
        <v>89</v>
      </c>
      <c r="T166" s="48" t="s">
        <v>89</v>
      </c>
      <c r="U166" s="46">
        <v>53</v>
      </c>
      <c r="V166" s="46">
        <f t="shared" si="76"/>
        <v>51</v>
      </c>
      <c r="W166" s="46">
        <v>46</v>
      </c>
      <c r="X166" s="46">
        <f t="shared" si="77"/>
        <v>46</v>
      </c>
      <c r="Y166" s="46">
        <v>0</v>
      </c>
      <c r="Z166" s="46">
        <f t="shared" si="78"/>
        <v>5</v>
      </c>
      <c r="AA166" s="46">
        <v>2</v>
      </c>
      <c r="AB166" s="46">
        <v>0</v>
      </c>
      <c r="AC166" s="46">
        <v>2</v>
      </c>
      <c r="AD166" s="46">
        <v>1</v>
      </c>
      <c r="AE166" s="46">
        <v>0</v>
      </c>
      <c r="AF166" s="46">
        <v>0</v>
      </c>
      <c r="AG166" s="46">
        <v>0</v>
      </c>
      <c r="AH166" s="46">
        <f t="shared" si="79"/>
        <v>2</v>
      </c>
      <c r="AI166" s="46">
        <v>2</v>
      </c>
      <c r="AJ166" s="46">
        <v>0</v>
      </c>
      <c r="AK166" s="46">
        <v>0</v>
      </c>
      <c r="AL166" s="46">
        <v>0</v>
      </c>
      <c r="AM166" s="49">
        <v>1</v>
      </c>
      <c r="AN166" s="47">
        <v>44457</v>
      </c>
      <c r="AO166" s="47"/>
      <c r="AP166" s="47"/>
      <c r="AQ166" s="50">
        <f t="shared" si="4"/>
        <v>63</v>
      </c>
      <c r="AR166" s="47"/>
      <c r="AS166" s="47"/>
      <c r="AT166" s="47"/>
      <c r="AU166" s="47"/>
      <c r="AV166" s="47"/>
      <c r="AW166" s="47"/>
      <c r="AX166" s="47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52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</row>
    <row r="167" spans="1:81" ht="15" customHeight="1" x14ac:dyDescent="0.25">
      <c r="A167" s="46" t="s">
        <v>255</v>
      </c>
      <c r="B167" s="46" t="s">
        <v>88</v>
      </c>
      <c r="C167" s="46" t="s">
        <v>89</v>
      </c>
      <c r="D167" s="46">
        <v>148</v>
      </c>
      <c r="E167" s="46">
        <v>149</v>
      </c>
      <c r="F167" s="47">
        <v>44394</v>
      </c>
      <c r="G167" s="48" t="s">
        <v>89</v>
      </c>
      <c r="H167" s="48" t="s">
        <v>89</v>
      </c>
      <c r="I167" s="48" t="s">
        <v>89</v>
      </c>
      <c r="J167" s="48" t="s">
        <v>89</v>
      </c>
      <c r="K167" s="48" t="s">
        <v>89</v>
      </c>
      <c r="L167" s="48" t="s">
        <v>89</v>
      </c>
      <c r="M167" s="48" t="s">
        <v>89</v>
      </c>
      <c r="N167" s="48" t="s">
        <v>89</v>
      </c>
      <c r="O167" s="48" t="s">
        <v>89</v>
      </c>
      <c r="P167" s="48" t="s">
        <v>89</v>
      </c>
      <c r="Q167" s="48" t="s">
        <v>89</v>
      </c>
      <c r="R167" s="48" t="s">
        <v>89</v>
      </c>
      <c r="S167" s="48" t="s">
        <v>89</v>
      </c>
      <c r="T167" s="48" t="s">
        <v>89</v>
      </c>
      <c r="U167" s="46">
        <v>79</v>
      </c>
      <c r="V167" s="46">
        <f t="shared" si="76"/>
        <v>79</v>
      </c>
      <c r="W167" s="46">
        <v>78</v>
      </c>
      <c r="X167" s="46">
        <f t="shared" si="77"/>
        <v>78</v>
      </c>
      <c r="Y167" s="46">
        <v>0</v>
      </c>
      <c r="Z167" s="46">
        <f t="shared" si="78"/>
        <v>1</v>
      </c>
      <c r="AA167" s="46">
        <v>0</v>
      </c>
      <c r="AB167" s="46">
        <v>0</v>
      </c>
      <c r="AC167" s="46">
        <v>1</v>
      </c>
      <c r="AD167" s="46">
        <v>0</v>
      </c>
      <c r="AE167" s="46">
        <v>0</v>
      </c>
      <c r="AF167" s="46">
        <v>0</v>
      </c>
      <c r="AG167" s="46">
        <v>0</v>
      </c>
      <c r="AH167" s="46">
        <f t="shared" si="79"/>
        <v>0</v>
      </c>
      <c r="AI167" s="46">
        <v>0</v>
      </c>
      <c r="AJ167" s="46">
        <v>0</v>
      </c>
      <c r="AK167" s="46">
        <v>0</v>
      </c>
      <c r="AL167" s="46">
        <v>0</v>
      </c>
      <c r="AM167" s="49">
        <v>1</v>
      </c>
      <c r="AN167" s="47">
        <v>44456</v>
      </c>
      <c r="AO167" s="46"/>
      <c r="AP167" s="46"/>
      <c r="AQ167" s="50">
        <f t="shared" si="4"/>
        <v>62</v>
      </c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52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</row>
    <row r="168" spans="1:81" ht="15" customHeight="1" x14ac:dyDescent="0.25">
      <c r="A168" s="46" t="s">
        <v>256</v>
      </c>
      <c r="B168" s="46" t="s">
        <v>93</v>
      </c>
      <c r="C168" s="46" t="s">
        <v>89</v>
      </c>
      <c r="D168" s="46">
        <v>28</v>
      </c>
      <c r="E168" s="46">
        <v>29</v>
      </c>
      <c r="F168" s="47">
        <v>44395</v>
      </c>
      <c r="G168" s="48" t="s">
        <v>89</v>
      </c>
      <c r="H168" s="48" t="s">
        <v>89</v>
      </c>
      <c r="I168" s="46" t="s">
        <v>89</v>
      </c>
      <c r="J168" s="46" t="s">
        <v>89</v>
      </c>
      <c r="K168" s="46" t="s">
        <v>89</v>
      </c>
      <c r="L168" s="46" t="s">
        <v>89</v>
      </c>
      <c r="M168" s="46" t="s">
        <v>89</v>
      </c>
      <c r="N168" s="46" t="s">
        <v>89</v>
      </c>
      <c r="O168" s="46" t="s">
        <v>89</v>
      </c>
      <c r="P168" s="46" t="s">
        <v>89</v>
      </c>
      <c r="Q168" s="46" t="s">
        <v>89</v>
      </c>
      <c r="R168" s="46" t="s">
        <v>89</v>
      </c>
      <c r="S168" s="46" t="s">
        <v>89</v>
      </c>
      <c r="T168" s="46" t="s">
        <v>89</v>
      </c>
      <c r="U168" s="46" t="s">
        <v>89</v>
      </c>
      <c r="V168" s="46" t="s">
        <v>89</v>
      </c>
      <c r="W168" s="46" t="s">
        <v>89</v>
      </c>
      <c r="X168" s="46" t="s">
        <v>89</v>
      </c>
      <c r="Y168" s="46" t="s">
        <v>89</v>
      </c>
      <c r="Z168" s="46">
        <f t="shared" si="78"/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f t="shared" si="79"/>
        <v>0</v>
      </c>
      <c r="AI168" s="46" t="s">
        <v>89</v>
      </c>
      <c r="AJ168" s="46" t="s">
        <v>89</v>
      </c>
      <c r="AK168" s="46">
        <v>0</v>
      </c>
      <c r="AL168" s="46">
        <v>0</v>
      </c>
      <c r="AM168" s="49">
        <v>1</v>
      </c>
      <c r="AN168" s="46" t="s">
        <v>89</v>
      </c>
      <c r="AO168" s="46"/>
      <c r="AP168" s="46"/>
      <c r="AQ168" s="50" t="str">
        <f t="shared" si="4"/>
        <v>N.A.</v>
      </c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52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</row>
    <row r="169" spans="1:81" ht="15" customHeight="1" x14ac:dyDescent="0.25">
      <c r="A169" s="46" t="s">
        <v>257</v>
      </c>
      <c r="B169" s="46" t="s">
        <v>88</v>
      </c>
      <c r="C169" s="46" t="s">
        <v>89</v>
      </c>
      <c r="D169" s="46">
        <v>16</v>
      </c>
      <c r="E169" s="46">
        <v>17</v>
      </c>
      <c r="F169" s="47">
        <v>44395</v>
      </c>
      <c r="G169" s="48" t="s">
        <v>89</v>
      </c>
      <c r="H169" s="48" t="s">
        <v>89</v>
      </c>
      <c r="I169" s="46" t="s">
        <v>89</v>
      </c>
      <c r="J169" s="46" t="s">
        <v>89</v>
      </c>
      <c r="K169" s="46" t="s">
        <v>89</v>
      </c>
      <c r="L169" s="46" t="s">
        <v>89</v>
      </c>
      <c r="M169" s="46" t="s">
        <v>89</v>
      </c>
      <c r="N169" s="46" t="s">
        <v>89</v>
      </c>
      <c r="O169" s="46" t="s">
        <v>89</v>
      </c>
      <c r="P169" s="46" t="s">
        <v>89</v>
      </c>
      <c r="Q169" s="46" t="s">
        <v>89</v>
      </c>
      <c r="R169" s="46" t="s">
        <v>89</v>
      </c>
      <c r="S169" s="46" t="s">
        <v>89</v>
      </c>
      <c r="T169" s="46" t="s">
        <v>89</v>
      </c>
      <c r="U169" s="46" t="s">
        <v>89</v>
      </c>
      <c r="V169" s="46" t="s">
        <v>89</v>
      </c>
      <c r="W169" s="46" t="s">
        <v>89</v>
      </c>
      <c r="X169" s="46" t="s">
        <v>89</v>
      </c>
      <c r="Y169" s="46" t="s">
        <v>89</v>
      </c>
      <c r="Z169" s="46">
        <f t="shared" si="78"/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f t="shared" si="79"/>
        <v>0</v>
      </c>
      <c r="AI169" s="46" t="s">
        <v>89</v>
      </c>
      <c r="AJ169" s="46" t="s">
        <v>89</v>
      </c>
      <c r="AK169" s="46">
        <v>0</v>
      </c>
      <c r="AL169" s="46">
        <v>0</v>
      </c>
      <c r="AM169" s="49">
        <v>1</v>
      </c>
      <c r="AN169" s="46" t="s">
        <v>89</v>
      </c>
      <c r="AO169" s="46"/>
      <c r="AP169" s="46"/>
      <c r="AQ169" s="50" t="str">
        <f t="shared" si="4"/>
        <v>N.A.</v>
      </c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52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</row>
    <row r="170" spans="1:81" ht="15" customHeight="1" x14ac:dyDescent="0.25">
      <c r="A170" s="46" t="s">
        <v>258</v>
      </c>
      <c r="B170" s="46" t="s">
        <v>88</v>
      </c>
      <c r="C170" s="46" t="s">
        <v>89</v>
      </c>
      <c r="D170" s="46">
        <v>40</v>
      </c>
      <c r="E170" s="46">
        <v>41</v>
      </c>
      <c r="F170" s="47">
        <v>44395</v>
      </c>
      <c r="G170" s="48" t="s">
        <v>89</v>
      </c>
      <c r="H170" s="48" t="s">
        <v>89</v>
      </c>
      <c r="I170" s="46" t="s">
        <v>89</v>
      </c>
      <c r="J170" s="46" t="s">
        <v>89</v>
      </c>
      <c r="K170" s="46" t="s">
        <v>89</v>
      </c>
      <c r="L170" s="46" t="s">
        <v>89</v>
      </c>
      <c r="M170" s="46" t="s">
        <v>89</v>
      </c>
      <c r="N170" s="46" t="s">
        <v>89</v>
      </c>
      <c r="O170" s="46" t="s">
        <v>89</v>
      </c>
      <c r="P170" s="46" t="s">
        <v>89</v>
      </c>
      <c r="Q170" s="46" t="s">
        <v>89</v>
      </c>
      <c r="R170" s="46" t="s">
        <v>89</v>
      </c>
      <c r="S170" s="46" t="s">
        <v>89</v>
      </c>
      <c r="T170" s="46" t="s">
        <v>89</v>
      </c>
      <c r="U170" s="46" t="s">
        <v>89</v>
      </c>
      <c r="V170" s="46" t="s">
        <v>89</v>
      </c>
      <c r="W170" s="46" t="s">
        <v>89</v>
      </c>
      <c r="X170" s="46" t="s">
        <v>89</v>
      </c>
      <c r="Y170" s="46" t="s">
        <v>89</v>
      </c>
      <c r="Z170" s="46" t="s">
        <v>89</v>
      </c>
      <c r="AA170" s="46" t="s">
        <v>89</v>
      </c>
      <c r="AB170" s="46" t="s">
        <v>89</v>
      </c>
      <c r="AC170" s="46" t="s">
        <v>89</v>
      </c>
      <c r="AD170" s="46" t="s">
        <v>89</v>
      </c>
      <c r="AE170" s="46" t="s">
        <v>89</v>
      </c>
      <c r="AF170" s="46" t="s">
        <v>89</v>
      </c>
      <c r="AG170" s="46" t="s">
        <v>89</v>
      </c>
      <c r="AH170" s="46" t="s">
        <v>89</v>
      </c>
      <c r="AI170" s="46" t="s">
        <v>89</v>
      </c>
      <c r="AJ170" s="46" t="s">
        <v>89</v>
      </c>
      <c r="AK170" s="46" t="s">
        <v>89</v>
      </c>
      <c r="AL170" s="46" t="s">
        <v>89</v>
      </c>
      <c r="AM170" s="46">
        <v>0</v>
      </c>
      <c r="AN170" s="46" t="s">
        <v>89</v>
      </c>
      <c r="AO170" s="46"/>
      <c r="AP170" s="46"/>
      <c r="AQ170" s="50" t="str">
        <f t="shared" si="4"/>
        <v>N.A.</v>
      </c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52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</row>
    <row r="171" spans="1:81" ht="15" customHeight="1" x14ac:dyDescent="0.25">
      <c r="A171" s="46" t="s">
        <v>259</v>
      </c>
      <c r="B171" s="46" t="s">
        <v>88</v>
      </c>
      <c r="C171" s="46" t="s">
        <v>89</v>
      </c>
      <c r="D171" s="46">
        <v>144</v>
      </c>
      <c r="E171" s="46">
        <v>145</v>
      </c>
      <c r="F171" s="47">
        <v>44395</v>
      </c>
      <c r="G171" s="48" t="s">
        <v>89</v>
      </c>
      <c r="H171" s="48" t="s">
        <v>89</v>
      </c>
      <c r="I171" s="46" t="s">
        <v>89</v>
      </c>
      <c r="J171" s="46" t="s">
        <v>89</v>
      </c>
      <c r="K171" s="46" t="s">
        <v>89</v>
      </c>
      <c r="L171" s="46" t="s">
        <v>89</v>
      </c>
      <c r="M171" s="46" t="s">
        <v>89</v>
      </c>
      <c r="N171" s="46" t="s">
        <v>89</v>
      </c>
      <c r="O171" s="46" t="s">
        <v>89</v>
      </c>
      <c r="P171" s="46" t="s">
        <v>89</v>
      </c>
      <c r="Q171" s="46" t="s">
        <v>89</v>
      </c>
      <c r="R171" s="46" t="s">
        <v>89</v>
      </c>
      <c r="S171" s="46" t="s">
        <v>89</v>
      </c>
      <c r="T171" s="46" t="s">
        <v>89</v>
      </c>
      <c r="U171" s="46" t="s">
        <v>89</v>
      </c>
      <c r="V171" s="46" t="s">
        <v>89</v>
      </c>
      <c r="W171" s="46" t="s">
        <v>89</v>
      </c>
      <c r="X171" s="46" t="s">
        <v>89</v>
      </c>
      <c r="Y171" s="46" t="s">
        <v>89</v>
      </c>
      <c r="Z171" s="46" t="s">
        <v>89</v>
      </c>
      <c r="AA171" s="46" t="s">
        <v>89</v>
      </c>
      <c r="AB171" s="46" t="s">
        <v>89</v>
      </c>
      <c r="AC171" s="46" t="s">
        <v>89</v>
      </c>
      <c r="AD171" s="46" t="s">
        <v>89</v>
      </c>
      <c r="AE171" s="46" t="s">
        <v>89</v>
      </c>
      <c r="AF171" s="46" t="s">
        <v>89</v>
      </c>
      <c r="AG171" s="46" t="s">
        <v>89</v>
      </c>
      <c r="AH171" s="46" t="s">
        <v>89</v>
      </c>
      <c r="AI171" s="46" t="s">
        <v>89</v>
      </c>
      <c r="AJ171" s="46" t="s">
        <v>89</v>
      </c>
      <c r="AK171" s="46" t="s">
        <v>89</v>
      </c>
      <c r="AL171" s="46" t="s">
        <v>89</v>
      </c>
      <c r="AM171" s="46">
        <v>0</v>
      </c>
      <c r="AN171" s="46" t="s">
        <v>89</v>
      </c>
      <c r="AO171" s="46"/>
      <c r="AP171" s="46"/>
      <c r="AQ171" s="50" t="str">
        <f t="shared" si="4"/>
        <v>N.A.</v>
      </c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52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</row>
    <row r="172" spans="1:81" ht="15" customHeight="1" x14ac:dyDescent="0.25">
      <c r="A172" s="46" t="s">
        <v>260</v>
      </c>
      <c r="B172" s="46" t="s">
        <v>88</v>
      </c>
      <c r="C172" s="46" t="s">
        <v>89</v>
      </c>
      <c r="D172" s="46">
        <v>106</v>
      </c>
      <c r="E172" s="46">
        <v>107</v>
      </c>
      <c r="F172" s="47">
        <v>44395</v>
      </c>
      <c r="G172" s="48" t="s">
        <v>89</v>
      </c>
      <c r="H172" s="48" t="s">
        <v>89</v>
      </c>
      <c r="I172" s="46" t="s">
        <v>89</v>
      </c>
      <c r="J172" s="46" t="s">
        <v>89</v>
      </c>
      <c r="K172" s="46" t="s">
        <v>89</v>
      </c>
      <c r="L172" s="46" t="s">
        <v>89</v>
      </c>
      <c r="M172" s="46" t="s">
        <v>89</v>
      </c>
      <c r="N172" s="46" t="s">
        <v>89</v>
      </c>
      <c r="O172" s="46" t="s">
        <v>89</v>
      </c>
      <c r="P172" s="46" t="s">
        <v>89</v>
      </c>
      <c r="Q172" s="46" t="s">
        <v>89</v>
      </c>
      <c r="R172" s="46" t="s">
        <v>89</v>
      </c>
      <c r="S172" s="46" t="s">
        <v>89</v>
      </c>
      <c r="T172" s="46" t="s">
        <v>89</v>
      </c>
      <c r="U172" s="46" t="s">
        <v>89</v>
      </c>
      <c r="V172" s="46" t="s">
        <v>89</v>
      </c>
      <c r="W172" s="46" t="s">
        <v>89</v>
      </c>
      <c r="X172" s="46" t="s">
        <v>89</v>
      </c>
      <c r="Y172" s="46" t="s">
        <v>89</v>
      </c>
      <c r="Z172" s="46">
        <f>SUM(AA172:AG172)</f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f>SUM(AI172:AL172)</f>
        <v>0</v>
      </c>
      <c r="AI172" s="46" t="s">
        <v>89</v>
      </c>
      <c r="AJ172" s="46" t="s">
        <v>89</v>
      </c>
      <c r="AK172" s="46">
        <v>0</v>
      </c>
      <c r="AL172" s="46">
        <v>0</v>
      </c>
      <c r="AM172" s="49">
        <v>1</v>
      </c>
      <c r="AN172" s="46" t="s">
        <v>89</v>
      </c>
      <c r="AO172" s="46"/>
      <c r="AP172" s="46"/>
      <c r="AQ172" s="50" t="str">
        <f t="shared" si="4"/>
        <v>N.A.</v>
      </c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52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</row>
    <row r="173" spans="1:81" ht="15" customHeight="1" x14ac:dyDescent="0.25">
      <c r="A173" s="46" t="s">
        <v>261</v>
      </c>
      <c r="B173" s="46" t="s">
        <v>88</v>
      </c>
      <c r="C173" s="46" t="s">
        <v>89</v>
      </c>
      <c r="D173" s="46">
        <v>54</v>
      </c>
      <c r="E173" s="46">
        <v>55</v>
      </c>
      <c r="F173" s="46" t="s">
        <v>89</v>
      </c>
      <c r="G173" s="46" t="s">
        <v>89</v>
      </c>
      <c r="H173" s="46" t="s">
        <v>89</v>
      </c>
      <c r="I173" s="46" t="s">
        <v>89</v>
      </c>
      <c r="J173" s="46" t="s">
        <v>89</v>
      </c>
      <c r="K173" s="46" t="s">
        <v>89</v>
      </c>
      <c r="L173" s="46" t="s">
        <v>89</v>
      </c>
      <c r="M173" s="46" t="s">
        <v>89</v>
      </c>
      <c r="N173" s="46" t="s">
        <v>89</v>
      </c>
      <c r="O173" s="46" t="s">
        <v>89</v>
      </c>
      <c r="P173" s="46" t="s">
        <v>89</v>
      </c>
      <c r="Q173" s="46" t="s">
        <v>89</v>
      </c>
      <c r="R173" s="46" t="s">
        <v>89</v>
      </c>
      <c r="S173" s="46" t="s">
        <v>89</v>
      </c>
      <c r="T173" s="46" t="s">
        <v>89</v>
      </c>
      <c r="U173" s="46" t="s">
        <v>89</v>
      </c>
      <c r="V173" s="46" t="s">
        <v>89</v>
      </c>
      <c r="W173" s="46" t="s">
        <v>89</v>
      </c>
      <c r="X173" s="46" t="s">
        <v>89</v>
      </c>
      <c r="Y173" s="46" t="s">
        <v>89</v>
      </c>
      <c r="Z173" s="46" t="s">
        <v>89</v>
      </c>
      <c r="AA173" s="46" t="s">
        <v>89</v>
      </c>
      <c r="AB173" s="46" t="s">
        <v>89</v>
      </c>
      <c r="AC173" s="46" t="s">
        <v>89</v>
      </c>
      <c r="AD173" s="46" t="s">
        <v>89</v>
      </c>
      <c r="AE173" s="46" t="s">
        <v>89</v>
      </c>
      <c r="AF173" s="46" t="s">
        <v>89</v>
      </c>
      <c r="AG173" s="46" t="s">
        <v>89</v>
      </c>
      <c r="AH173" s="46" t="s">
        <v>89</v>
      </c>
      <c r="AI173" s="46" t="s">
        <v>89</v>
      </c>
      <c r="AJ173" s="46" t="s">
        <v>89</v>
      </c>
      <c r="AK173" s="46" t="s">
        <v>89</v>
      </c>
      <c r="AL173" s="46" t="s">
        <v>89</v>
      </c>
      <c r="AM173" s="46">
        <v>0</v>
      </c>
      <c r="AN173" s="46" t="s">
        <v>89</v>
      </c>
      <c r="AO173" s="46"/>
      <c r="AP173" s="46"/>
      <c r="AQ173" s="50" t="str">
        <f t="shared" si="4"/>
        <v>N.A.</v>
      </c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52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</row>
    <row r="174" spans="1:81" ht="15" customHeight="1" x14ac:dyDescent="0.25">
      <c r="A174" s="46" t="s">
        <v>262</v>
      </c>
      <c r="B174" s="46" t="s">
        <v>93</v>
      </c>
      <c r="C174" s="46" t="s">
        <v>89</v>
      </c>
      <c r="D174" s="46">
        <v>112</v>
      </c>
      <c r="E174" s="46">
        <v>113</v>
      </c>
      <c r="F174" s="47">
        <v>44395</v>
      </c>
      <c r="G174" s="48" t="s">
        <v>89</v>
      </c>
      <c r="H174" s="48" t="s">
        <v>89</v>
      </c>
      <c r="I174" s="46" t="s">
        <v>89</v>
      </c>
      <c r="J174" s="46" t="s">
        <v>89</v>
      </c>
      <c r="K174" s="46" t="s">
        <v>89</v>
      </c>
      <c r="L174" s="46" t="s">
        <v>89</v>
      </c>
      <c r="M174" s="46" t="s">
        <v>89</v>
      </c>
      <c r="N174" s="46" t="s">
        <v>89</v>
      </c>
      <c r="O174" s="46" t="s">
        <v>89</v>
      </c>
      <c r="P174" s="46" t="s">
        <v>89</v>
      </c>
      <c r="Q174" s="46" t="s">
        <v>89</v>
      </c>
      <c r="R174" s="46" t="s">
        <v>89</v>
      </c>
      <c r="S174" s="46" t="s">
        <v>89</v>
      </c>
      <c r="T174" s="46" t="s">
        <v>89</v>
      </c>
      <c r="U174" s="46" t="s">
        <v>89</v>
      </c>
      <c r="V174" s="46" t="s">
        <v>89</v>
      </c>
      <c r="W174" s="46" t="s">
        <v>89</v>
      </c>
      <c r="X174" s="46" t="s">
        <v>89</v>
      </c>
      <c r="Y174" s="46" t="s">
        <v>89</v>
      </c>
      <c r="Z174" s="46">
        <f t="shared" ref="Z174:Z175" si="80">SUM(AA174:AG174)</f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f t="shared" ref="AH174:AH175" si="81">SUM(AI174:AL174)</f>
        <v>0</v>
      </c>
      <c r="AI174" s="46" t="s">
        <v>89</v>
      </c>
      <c r="AJ174" s="46" t="s">
        <v>89</v>
      </c>
      <c r="AK174" s="46">
        <v>0</v>
      </c>
      <c r="AL174" s="46">
        <v>0</v>
      </c>
      <c r="AM174" s="49">
        <v>1</v>
      </c>
      <c r="AN174" s="46" t="s">
        <v>89</v>
      </c>
      <c r="AO174" s="46"/>
      <c r="AP174" s="46"/>
      <c r="AQ174" s="50" t="str">
        <f t="shared" si="4"/>
        <v>N.A.</v>
      </c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52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</row>
    <row r="175" spans="1:81" ht="15" customHeight="1" x14ac:dyDescent="0.25">
      <c r="A175" s="46" t="s">
        <v>263</v>
      </c>
      <c r="B175" s="46" t="s">
        <v>93</v>
      </c>
      <c r="C175" s="46" t="s">
        <v>89</v>
      </c>
      <c r="D175" s="46">
        <v>103</v>
      </c>
      <c r="E175" s="46">
        <v>104</v>
      </c>
      <c r="F175" s="47">
        <v>44395</v>
      </c>
      <c r="G175" s="48" t="s">
        <v>89</v>
      </c>
      <c r="H175" s="48" t="s">
        <v>89</v>
      </c>
      <c r="I175" s="46" t="s">
        <v>89</v>
      </c>
      <c r="J175" s="46" t="s">
        <v>89</v>
      </c>
      <c r="K175" s="46" t="s">
        <v>89</v>
      </c>
      <c r="L175" s="46" t="s">
        <v>89</v>
      </c>
      <c r="M175" s="46" t="s">
        <v>89</v>
      </c>
      <c r="N175" s="46" t="s">
        <v>89</v>
      </c>
      <c r="O175" s="46" t="s">
        <v>89</v>
      </c>
      <c r="P175" s="46" t="s">
        <v>89</v>
      </c>
      <c r="Q175" s="46" t="s">
        <v>89</v>
      </c>
      <c r="R175" s="46" t="s">
        <v>89</v>
      </c>
      <c r="S175" s="46" t="s">
        <v>89</v>
      </c>
      <c r="T175" s="46" t="s">
        <v>89</v>
      </c>
      <c r="U175" s="46">
        <v>98</v>
      </c>
      <c r="V175" s="46">
        <f>W175+Z175</f>
        <v>96</v>
      </c>
      <c r="W175" s="46">
        <v>96</v>
      </c>
      <c r="X175" s="46">
        <f>W175-Y175</f>
        <v>96</v>
      </c>
      <c r="Y175" s="46">
        <v>0</v>
      </c>
      <c r="Z175" s="46">
        <f t="shared" si="80"/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f t="shared" si="81"/>
        <v>2</v>
      </c>
      <c r="AI175" s="46">
        <v>2</v>
      </c>
      <c r="AJ175" s="46">
        <v>0</v>
      </c>
      <c r="AK175" s="46">
        <v>0</v>
      </c>
      <c r="AL175" s="46">
        <v>0</v>
      </c>
      <c r="AM175" s="49">
        <v>1</v>
      </c>
      <c r="AN175" s="46" t="s">
        <v>89</v>
      </c>
      <c r="AO175" s="47">
        <v>44447</v>
      </c>
      <c r="AP175" s="46"/>
      <c r="AQ175" s="50" t="str">
        <f t="shared" si="4"/>
        <v>N.A.</v>
      </c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52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</row>
    <row r="176" spans="1:81" ht="15" customHeight="1" x14ac:dyDescent="0.25">
      <c r="A176" s="46" t="s">
        <v>264</v>
      </c>
      <c r="B176" s="46" t="s">
        <v>93</v>
      </c>
      <c r="C176" s="46" t="s">
        <v>89</v>
      </c>
      <c r="D176" s="46">
        <v>43</v>
      </c>
      <c r="E176" s="46">
        <v>44</v>
      </c>
      <c r="F176" s="47">
        <v>44395</v>
      </c>
      <c r="G176" s="48" t="s">
        <v>89</v>
      </c>
      <c r="H176" s="48" t="s">
        <v>89</v>
      </c>
      <c r="I176" s="46" t="s">
        <v>89</v>
      </c>
      <c r="J176" s="46" t="s">
        <v>89</v>
      </c>
      <c r="K176" s="46" t="s">
        <v>89</v>
      </c>
      <c r="L176" s="46" t="s">
        <v>89</v>
      </c>
      <c r="M176" s="46" t="s">
        <v>89</v>
      </c>
      <c r="N176" s="46" t="s">
        <v>89</v>
      </c>
      <c r="O176" s="46" t="s">
        <v>89</v>
      </c>
      <c r="P176" s="46" t="s">
        <v>89</v>
      </c>
      <c r="Q176" s="46" t="s">
        <v>89</v>
      </c>
      <c r="R176" s="46" t="s">
        <v>89</v>
      </c>
      <c r="S176" s="46" t="s">
        <v>89</v>
      </c>
      <c r="T176" s="46" t="s">
        <v>89</v>
      </c>
      <c r="U176" s="46" t="s">
        <v>89</v>
      </c>
      <c r="V176" s="46" t="s">
        <v>89</v>
      </c>
      <c r="W176" s="46" t="s">
        <v>89</v>
      </c>
      <c r="X176" s="46" t="s">
        <v>89</v>
      </c>
      <c r="Y176" s="46" t="s">
        <v>89</v>
      </c>
      <c r="Z176" s="46" t="s">
        <v>89</v>
      </c>
      <c r="AA176" s="46" t="s">
        <v>89</v>
      </c>
      <c r="AB176" s="46" t="s">
        <v>89</v>
      </c>
      <c r="AC176" s="46" t="s">
        <v>89</v>
      </c>
      <c r="AD176" s="46" t="s">
        <v>89</v>
      </c>
      <c r="AE176" s="46" t="s">
        <v>89</v>
      </c>
      <c r="AF176" s="46" t="s">
        <v>89</v>
      </c>
      <c r="AG176" s="46" t="s">
        <v>89</v>
      </c>
      <c r="AH176" s="46" t="s">
        <v>89</v>
      </c>
      <c r="AI176" s="46" t="s">
        <v>89</v>
      </c>
      <c r="AJ176" s="46" t="s">
        <v>89</v>
      </c>
      <c r="AK176" s="46" t="s">
        <v>89</v>
      </c>
      <c r="AL176" s="46" t="s">
        <v>89</v>
      </c>
      <c r="AM176" s="46">
        <v>0</v>
      </c>
      <c r="AN176" s="46" t="s">
        <v>89</v>
      </c>
      <c r="AO176" s="46"/>
      <c r="AP176" s="46"/>
      <c r="AQ176" s="50" t="str">
        <f t="shared" si="4"/>
        <v>N.A.</v>
      </c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52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</row>
    <row r="177" spans="1:81" ht="15" customHeight="1" x14ac:dyDescent="0.25">
      <c r="A177" s="46" t="s">
        <v>265</v>
      </c>
      <c r="B177" s="46" t="s">
        <v>93</v>
      </c>
      <c r="C177" s="46" t="s">
        <v>89</v>
      </c>
      <c r="D177" s="46">
        <v>33</v>
      </c>
      <c r="E177" s="46">
        <v>34</v>
      </c>
      <c r="F177" s="47">
        <v>44395</v>
      </c>
      <c r="G177" s="48" t="s">
        <v>89</v>
      </c>
      <c r="H177" s="48" t="s">
        <v>89</v>
      </c>
      <c r="I177" s="48" t="s">
        <v>89</v>
      </c>
      <c r="J177" s="48" t="s">
        <v>89</v>
      </c>
      <c r="K177" s="48" t="s">
        <v>89</v>
      </c>
      <c r="L177" s="48" t="s">
        <v>89</v>
      </c>
      <c r="M177" s="48" t="s">
        <v>89</v>
      </c>
      <c r="N177" s="48" t="s">
        <v>89</v>
      </c>
      <c r="O177" s="48" t="s">
        <v>89</v>
      </c>
      <c r="P177" s="48" t="s">
        <v>89</v>
      </c>
      <c r="Q177" s="48" t="s">
        <v>89</v>
      </c>
      <c r="R177" s="48" t="s">
        <v>89</v>
      </c>
      <c r="S177" s="48" t="s">
        <v>89</v>
      </c>
      <c r="T177" s="48" t="s">
        <v>89</v>
      </c>
      <c r="U177" s="46">
        <v>97</v>
      </c>
      <c r="V177" s="46">
        <f>W177+Z177</f>
        <v>85</v>
      </c>
      <c r="W177" s="46">
        <v>73</v>
      </c>
      <c r="X177" s="46">
        <f>W177-Y177</f>
        <v>70</v>
      </c>
      <c r="Y177" s="46">
        <v>3</v>
      </c>
      <c r="Z177" s="46">
        <f>SUM(AA177:AG177)</f>
        <v>12</v>
      </c>
      <c r="AA177" s="46">
        <v>0</v>
      </c>
      <c r="AB177" s="46">
        <v>0</v>
      </c>
      <c r="AC177" s="46">
        <v>12</v>
      </c>
      <c r="AD177" s="46">
        <v>0</v>
      </c>
      <c r="AE177" s="46">
        <v>0</v>
      </c>
      <c r="AF177" s="46">
        <v>0</v>
      </c>
      <c r="AG177" s="46">
        <v>0</v>
      </c>
      <c r="AH177" s="46">
        <f>SUM(AI177:AL177)</f>
        <v>12</v>
      </c>
      <c r="AI177" s="46">
        <v>9</v>
      </c>
      <c r="AJ177" s="46">
        <v>3</v>
      </c>
      <c r="AK177" s="46">
        <v>0</v>
      </c>
      <c r="AL177" s="46">
        <v>0</v>
      </c>
      <c r="AM177" s="49">
        <v>1</v>
      </c>
      <c r="AN177" s="47">
        <v>44447</v>
      </c>
      <c r="AO177" s="46"/>
      <c r="AP177" s="46"/>
      <c r="AQ177" s="50">
        <f t="shared" si="4"/>
        <v>52</v>
      </c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52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</row>
    <row r="178" spans="1:81" ht="15" customHeight="1" x14ac:dyDescent="0.25">
      <c r="A178" s="46" t="s">
        <v>266</v>
      </c>
      <c r="B178" s="46" t="s">
        <v>93</v>
      </c>
      <c r="C178" s="46" t="s">
        <v>89</v>
      </c>
      <c r="D178" s="46">
        <v>118</v>
      </c>
      <c r="E178" s="46">
        <v>119</v>
      </c>
      <c r="F178" s="47">
        <v>44396</v>
      </c>
      <c r="G178" s="48" t="s">
        <v>89</v>
      </c>
      <c r="H178" s="48" t="s">
        <v>89</v>
      </c>
      <c r="I178" s="46" t="s">
        <v>89</v>
      </c>
      <c r="J178" s="46" t="s">
        <v>89</v>
      </c>
      <c r="K178" s="46" t="s">
        <v>89</v>
      </c>
      <c r="L178" s="46" t="s">
        <v>89</v>
      </c>
      <c r="M178" s="46" t="s">
        <v>89</v>
      </c>
      <c r="N178" s="46" t="s">
        <v>89</v>
      </c>
      <c r="O178" s="46" t="s">
        <v>89</v>
      </c>
      <c r="P178" s="46" t="s">
        <v>89</v>
      </c>
      <c r="Q178" s="46" t="s">
        <v>89</v>
      </c>
      <c r="R178" s="46" t="s">
        <v>89</v>
      </c>
      <c r="S178" s="46" t="s">
        <v>89</v>
      </c>
      <c r="T178" s="46" t="s">
        <v>89</v>
      </c>
      <c r="U178" s="46" t="s">
        <v>89</v>
      </c>
      <c r="V178" s="46" t="s">
        <v>89</v>
      </c>
      <c r="W178" s="46" t="s">
        <v>89</v>
      </c>
      <c r="X178" s="46" t="s">
        <v>89</v>
      </c>
      <c r="Y178" s="46" t="s">
        <v>89</v>
      </c>
      <c r="Z178" s="46" t="s">
        <v>89</v>
      </c>
      <c r="AA178" s="46" t="s">
        <v>89</v>
      </c>
      <c r="AB178" s="46" t="s">
        <v>89</v>
      </c>
      <c r="AC178" s="46" t="s">
        <v>89</v>
      </c>
      <c r="AD178" s="46" t="s">
        <v>89</v>
      </c>
      <c r="AE178" s="46" t="s">
        <v>89</v>
      </c>
      <c r="AF178" s="46" t="s">
        <v>89</v>
      </c>
      <c r="AG178" s="46" t="s">
        <v>89</v>
      </c>
      <c r="AH178" s="46" t="s">
        <v>89</v>
      </c>
      <c r="AI178" s="46" t="s">
        <v>89</v>
      </c>
      <c r="AJ178" s="46" t="s">
        <v>89</v>
      </c>
      <c r="AK178" s="46" t="s">
        <v>89</v>
      </c>
      <c r="AL178" s="46" t="s">
        <v>89</v>
      </c>
      <c r="AM178" s="46">
        <v>0</v>
      </c>
      <c r="AN178" s="46" t="s">
        <v>89</v>
      </c>
      <c r="AO178" s="46"/>
      <c r="AP178" s="46"/>
      <c r="AQ178" s="50" t="str">
        <f t="shared" si="4"/>
        <v>N.A.</v>
      </c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52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</row>
    <row r="179" spans="1:81" ht="15" customHeight="1" x14ac:dyDescent="0.25">
      <c r="A179" s="46" t="s">
        <v>267</v>
      </c>
      <c r="B179" s="46" t="s">
        <v>88</v>
      </c>
      <c r="C179" s="46" t="s">
        <v>89</v>
      </c>
      <c r="D179" s="46">
        <v>54</v>
      </c>
      <c r="E179" s="46">
        <v>55</v>
      </c>
      <c r="F179" s="47">
        <v>44396</v>
      </c>
      <c r="G179" s="48" t="s">
        <v>89</v>
      </c>
      <c r="H179" s="48" t="s">
        <v>89</v>
      </c>
      <c r="I179" s="46" t="s">
        <v>89</v>
      </c>
      <c r="J179" s="46" t="s">
        <v>89</v>
      </c>
      <c r="K179" s="46" t="s">
        <v>89</v>
      </c>
      <c r="L179" s="46" t="s">
        <v>89</v>
      </c>
      <c r="M179" s="46" t="s">
        <v>89</v>
      </c>
      <c r="N179" s="46" t="s">
        <v>89</v>
      </c>
      <c r="O179" s="46" t="s">
        <v>89</v>
      </c>
      <c r="P179" s="46" t="s">
        <v>89</v>
      </c>
      <c r="Q179" s="46" t="s">
        <v>89</v>
      </c>
      <c r="R179" s="46" t="s">
        <v>89</v>
      </c>
      <c r="S179" s="46" t="s">
        <v>89</v>
      </c>
      <c r="T179" s="46" t="s">
        <v>89</v>
      </c>
      <c r="U179" s="46">
        <v>79</v>
      </c>
      <c r="V179" s="46">
        <f t="shared" ref="V179:V180" si="82">W179+Z179</f>
        <v>77</v>
      </c>
      <c r="W179" s="46">
        <v>77</v>
      </c>
      <c r="X179" s="46">
        <f t="shared" ref="X179:X180" si="83">W179-Y179</f>
        <v>77</v>
      </c>
      <c r="Y179" s="46">
        <v>0</v>
      </c>
      <c r="Z179" s="46">
        <f t="shared" ref="Z179:Z180" si="84">SUM(AA179:AG179)</f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f t="shared" ref="AH179:AH180" si="85">SUM(AI179:AL179)</f>
        <v>2</v>
      </c>
      <c r="AI179" s="46">
        <v>2</v>
      </c>
      <c r="AJ179" s="46">
        <v>0</v>
      </c>
      <c r="AK179" s="46">
        <v>0</v>
      </c>
      <c r="AL179" s="46">
        <v>0</v>
      </c>
      <c r="AM179" s="49">
        <v>1</v>
      </c>
      <c r="AN179" s="47">
        <v>44455</v>
      </c>
      <c r="AO179" s="46"/>
      <c r="AP179" s="46"/>
      <c r="AQ179" s="50">
        <f t="shared" si="4"/>
        <v>59</v>
      </c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52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</row>
    <row r="180" spans="1:81" ht="15" customHeight="1" x14ac:dyDescent="0.25">
      <c r="A180" s="46" t="s">
        <v>268</v>
      </c>
      <c r="B180" s="46" t="s">
        <v>93</v>
      </c>
      <c r="C180" s="46" t="s">
        <v>89</v>
      </c>
      <c r="D180" s="46">
        <v>114</v>
      </c>
      <c r="E180" s="46">
        <v>115</v>
      </c>
      <c r="F180" s="47">
        <v>44396</v>
      </c>
      <c r="G180" s="48" t="s">
        <v>89</v>
      </c>
      <c r="H180" s="48" t="s">
        <v>89</v>
      </c>
      <c r="I180" s="46" t="s">
        <v>89</v>
      </c>
      <c r="J180" s="46" t="s">
        <v>89</v>
      </c>
      <c r="K180" s="46" t="s">
        <v>89</v>
      </c>
      <c r="L180" s="46" t="s">
        <v>89</v>
      </c>
      <c r="M180" s="46" t="s">
        <v>89</v>
      </c>
      <c r="N180" s="46" t="s">
        <v>89</v>
      </c>
      <c r="O180" s="46" t="s">
        <v>89</v>
      </c>
      <c r="P180" s="46" t="s">
        <v>89</v>
      </c>
      <c r="Q180" s="46" t="s">
        <v>89</v>
      </c>
      <c r="R180" s="46" t="s">
        <v>89</v>
      </c>
      <c r="S180" s="46" t="s">
        <v>89</v>
      </c>
      <c r="T180" s="46" t="s">
        <v>89</v>
      </c>
      <c r="U180" s="46">
        <v>72</v>
      </c>
      <c r="V180" s="46">
        <f t="shared" si="82"/>
        <v>68</v>
      </c>
      <c r="W180" s="46">
        <v>68</v>
      </c>
      <c r="X180" s="46">
        <f t="shared" si="83"/>
        <v>68</v>
      </c>
      <c r="Y180" s="46">
        <v>0</v>
      </c>
      <c r="Z180" s="46">
        <f t="shared" si="84"/>
        <v>0</v>
      </c>
      <c r="AA180" s="46">
        <v>0</v>
      </c>
      <c r="AB180" s="46">
        <v>0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f t="shared" si="85"/>
        <v>4</v>
      </c>
      <c r="AI180" s="46">
        <v>4</v>
      </c>
      <c r="AJ180" s="46">
        <v>0</v>
      </c>
      <c r="AK180" s="46">
        <v>0</v>
      </c>
      <c r="AL180" s="46">
        <v>0</v>
      </c>
      <c r="AM180" s="49">
        <v>1</v>
      </c>
      <c r="AN180" s="47">
        <v>44464</v>
      </c>
      <c r="AO180" s="46"/>
      <c r="AP180" s="46"/>
      <c r="AQ180" s="50">
        <f t="shared" si="4"/>
        <v>68</v>
      </c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52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</row>
    <row r="181" spans="1:81" ht="15" customHeight="1" x14ac:dyDescent="0.25">
      <c r="A181" s="46" t="s">
        <v>269</v>
      </c>
      <c r="B181" s="46" t="s">
        <v>93</v>
      </c>
      <c r="C181" s="46" t="s">
        <v>89</v>
      </c>
      <c r="D181" s="46">
        <v>30</v>
      </c>
      <c r="E181" s="46">
        <v>31</v>
      </c>
      <c r="F181" s="47">
        <v>44396</v>
      </c>
      <c r="G181" s="48" t="s">
        <v>89</v>
      </c>
      <c r="H181" s="48" t="s">
        <v>89</v>
      </c>
      <c r="I181" s="46" t="s">
        <v>89</v>
      </c>
      <c r="J181" s="46" t="s">
        <v>89</v>
      </c>
      <c r="K181" s="46" t="s">
        <v>89</v>
      </c>
      <c r="L181" s="46" t="s">
        <v>89</v>
      </c>
      <c r="M181" s="46" t="s">
        <v>89</v>
      </c>
      <c r="N181" s="46" t="s">
        <v>89</v>
      </c>
      <c r="O181" s="46" t="s">
        <v>89</v>
      </c>
      <c r="P181" s="46" t="s">
        <v>89</v>
      </c>
      <c r="Q181" s="46" t="s">
        <v>89</v>
      </c>
      <c r="R181" s="46" t="s">
        <v>89</v>
      </c>
      <c r="S181" s="46" t="s">
        <v>89</v>
      </c>
      <c r="T181" s="46" t="s">
        <v>89</v>
      </c>
      <c r="U181" s="46" t="s">
        <v>89</v>
      </c>
      <c r="V181" s="46" t="s">
        <v>89</v>
      </c>
      <c r="W181" s="46" t="s">
        <v>89</v>
      </c>
      <c r="X181" s="46" t="s">
        <v>89</v>
      </c>
      <c r="Y181" s="46" t="s">
        <v>89</v>
      </c>
      <c r="Z181" s="46" t="s">
        <v>89</v>
      </c>
      <c r="AA181" s="46" t="s">
        <v>89</v>
      </c>
      <c r="AB181" s="46" t="s">
        <v>89</v>
      </c>
      <c r="AC181" s="46" t="s">
        <v>89</v>
      </c>
      <c r="AD181" s="46" t="s">
        <v>89</v>
      </c>
      <c r="AE181" s="46" t="s">
        <v>89</v>
      </c>
      <c r="AF181" s="46" t="s">
        <v>89</v>
      </c>
      <c r="AG181" s="46" t="s">
        <v>89</v>
      </c>
      <c r="AH181" s="46" t="s">
        <v>89</v>
      </c>
      <c r="AI181" s="46" t="s">
        <v>89</v>
      </c>
      <c r="AJ181" s="46" t="s">
        <v>89</v>
      </c>
      <c r="AK181" s="46" t="s">
        <v>89</v>
      </c>
      <c r="AL181" s="46" t="s">
        <v>89</v>
      </c>
      <c r="AM181" s="46">
        <v>0</v>
      </c>
      <c r="AN181" s="46" t="s">
        <v>89</v>
      </c>
      <c r="AO181" s="46"/>
      <c r="AP181" s="46"/>
      <c r="AQ181" s="50" t="str">
        <f t="shared" si="4"/>
        <v>N.A.</v>
      </c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52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</row>
    <row r="182" spans="1:81" ht="15" customHeight="1" x14ac:dyDescent="0.25">
      <c r="A182" s="46" t="s">
        <v>270</v>
      </c>
      <c r="B182" s="46" t="s">
        <v>93</v>
      </c>
      <c r="C182" s="46" t="s">
        <v>89</v>
      </c>
      <c r="D182" s="46">
        <v>140</v>
      </c>
      <c r="E182" s="46">
        <v>141</v>
      </c>
      <c r="F182" s="47">
        <v>44396</v>
      </c>
      <c r="G182" s="48" t="s">
        <v>89</v>
      </c>
      <c r="H182" s="48" t="s">
        <v>89</v>
      </c>
      <c r="I182" s="46" t="s">
        <v>89</v>
      </c>
      <c r="J182" s="46" t="s">
        <v>89</v>
      </c>
      <c r="K182" s="46" t="s">
        <v>89</v>
      </c>
      <c r="L182" s="46" t="s">
        <v>89</v>
      </c>
      <c r="M182" s="46" t="s">
        <v>89</v>
      </c>
      <c r="N182" s="46" t="s">
        <v>89</v>
      </c>
      <c r="O182" s="46" t="s">
        <v>89</v>
      </c>
      <c r="P182" s="46" t="s">
        <v>89</v>
      </c>
      <c r="Q182" s="46" t="s">
        <v>89</v>
      </c>
      <c r="R182" s="46" t="s">
        <v>89</v>
      </c>
      <c r="S182" s="46" t="s">
        <v>89</v>
      </c>
      <c r="T182" s="46" t="s">
        <v>89</v>
      </c>
      <c r="U182" s="46" t="s">
        <v>89</v>
      </c>
      <c r="V182" s="46" t="s">
        <v>89</v>
      </c>
      <c r="W182" s="46" t="s">
        <v>89</v>
      </c>
      <c r="X182" s="46" t="s">
        <v>89</v>
      </c>
      <c r="Y182" s="46" t="s">
        <v>89</v>
      </c>
      <c r="Z182" s="46" t="s">
        <v>89</v>
      </c>
      <c r="AA182" s="46" t="s">
        <v>89</v>
      </c>
      <c r="AB182" s="46" t="s">
        <v>89</v>
      </c>
      <c r="AC182" s="46" t="s">
        <v>89</v>
      </c>
      <c r="AD182" s="46" t="s">
        <v>89</v>
      </c>
      <c r="AE182" s="46" t="s">
        <v>89</v>
      </c>
      <c r="AF182" s="46" t="s">
        <v>89</v>
      </c>
      <c r="AG182" s="46" t="s">
        <v>89</v>
      </c>
      <c r="AH182" s="46" t="s">
        <v>89</v>
      </c>
      <c r="AI182" s="46" t="s">
        <v>89</v>
      </c>
      <c r="AJ182" s="46" t="s">
        <v>89</v>
      </c>
      <c r="AK182" s="46" t="s">
        <v>89</v>
      </c>
      <c r="AL182" s="46" t="s">
        <v>89</v>
      </c>
      <c r="AM182" s="46">
        <v>0</v>
      </c>
      <c r="AN182" s="46" t="s">
        <v>89</v>
      </c>
      <c r="AO182" s="46"/>
      <c r="AP182" s="46"/>
      <c r="AQ182" s="50" t="str">
        <f t="shared" si="4"/>
        <v>N.A.</v>
      </c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52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</row>
    <row r="183" spans="1:81" ht="15" customHeight="1" x14ac:dyDescent="0.25">
      <c r="A183" s="46" t="s">
        <v>271</v>
      </c>
      <c r="B183" s="46" t="s">
        <v>88</v>
      </c>
      <c r="C183" s="46" t="s">
        <v>89</v>
      </c>
      <c r="D183" s="46">
        <v>126</v>
      </c>
      <c r="E183" s="46">
        <v>127</v>
      </c>
      <c r="F183" s="47">
        <v>44396</v>
      </c>
      <c r="G183" s="48" t="s">
        <v>89</v>
      </c>
      <c r="H183" s="48" t="s">
        <v>89</v>
      </c>
      <c r="I183" s="46" t="s">
        <v>89</v>
      </c>
      <c r="J183" s="46" t="s">
        <v>89</v>
      </c>
      <c r="K183" s="46" t="s">
        <v>89</v>
      </c>
      <c r="L183" s="46" t="s">
        <v>89</v>
      </c>
      <c r="M183" s="46" t="s">
        <v>89</v>
      </c>
      <c r="N183" s="46" t="s">
        <v>89</v>
      </c>
      <c r="O183" s="46" t="s">
        <v>89</v>
      </c>
      <c r="P183" s="46" t="s">
        <v>89</v>
      </c>
      <c r="Q183" s="46" t="s">
        <v>89</v>
      </c>
      <c r="R183" s="46" t="s">
        <v>89</v>
      </c>
      <c r="S183" s="46" t="s">
        <v>89</v>
      </c>
      <c r="T183" s="46" t="s">
        <v>89</v>
      </c>
      <c r="U183" s="46">
        <v>77</v>
      </c>
      <c r="V183" s="46">
        <f t="shared" ref="V183:V184" si="86">W183+Z183</f>
        <v>73</v>
      </c>
      <c r="W183" s="46">
        <v>73</v>
      </c>
      <c r="X183" s="46">
        <f t="shared" ref="X183:X184" si="87">W183-Y183</f>
        <v>70</v>
      </c>
      <c r="Y183" s="46">
        <v>3</v>
      </c>
      <c r="Z183" s="46">
        <f t="shared" ref="Z183:Z184" si="88">SUM(AA183:AG183)</f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f t="shared" ref="AH183:AH184" si="89">SUM(AI183:AL183)</f>
        <v>4</v>
      </c>
      <c r="AI183" s="46">
        <v>3</v>
      </c>
      <c r="AJ183" s="46">
        <v>1</v>
      </c>
      <c r="AK183" s="46">
        <v>0</v>
      </c>
      <c r="AL183" s="46">
        <v>0</v>
      </c>
      <c r="AM183" s="49">
        <v>1</v>
      </c>
      <c r="AN183" s="47">
        <v>44466</v>
      </c>
      <c r="AO183" s="46"/>
      <c r="AP183" s="46"/>
      <c r="AQ183" s="50">
        <f t="shared" si="4"/>
        <v>70</v>
      </c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52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</row>
    <row r="184" spans="1:81" ht="15" customHeight="1" x14ac:dyDescent="0.25">
      <c r="A184" s="46" t="s">
        <v>272</v>
      </c>
      <c r="B184" s="46" t="s">
        <v>88</v>
      </c>
      <c r="C184" s="46" t="s">
        <v>89</v>
      </c>
      <c r="D184" s="46">
        <v>104</v>
      </c>
      <c r="E184" s="46">
        <v>105</v>
      </c>
      <c r="F184" s="47">
        <v>44396</v>
      </c>
      <c r="G184" s="48" t="s">
        <v>89</v>
      </c>
      <c r="H184" s="48" t="s">
        <v>89</v>
      </c>
      <c r="I184" s="48" t="s">
        <v>89</v>
      </c>
      <c r="J184" s="48" t="s">
        <v>89</v>
      </c>
      <c r="K184" s="48" t="s">
        <v>89</v>
      </c>
      <c r="L184" s="48" t="s">
        <v>89</v>
      </c>
      <c r="M184" s="48" t="s">
        <v>89</v>
      </c>
      <c r="N184" s="48" t="s">
        <v>89</v>
      </c>
      <c r="O184" s="48" t="s">
        <v>89</v>
      </c>
      <c r="P184" s="48" t="s">
        <v>89</v>
      </c>
      <c r="Q184" s="48" t="s">
        <v>89</v>
      </c>
      <c r="R184" s="48" t="s">
        <v>89</v>
      </c>
      <c r="S184" s="48" t="s">
        <v>89</v>
      </c>
      <c r="T184" s="48" t="s">
        <v>89</v>
      </c>
      <c r="U184" s="46">
        <v>84</v>
      </c>
      <c r="V184" s="46">
        <f t="shared" si="86"/>
        <v>81</v>
      </c>
      <c r="W184" s="46">
        <v>76</v>
      </c>
      <c r="X184" s="46">
        <f t="shared" si="87"/>
        <v>74</v>
      </c>
      <c r="Y184" s="46">
        <v>2</v>
      </c>
      <c r="Z184" s="46">
        <f t="shared" si="88"/>
        <v>5</v>
      </c>
      <c r="AA184" s="46">
        <v>4</v>
      </c>
      <c r="AB184" s="46">
        <v>0</v>
      </c>
      <c r="AC184" s="46">
        <v>0</v>
      </c>
      <c r="AD184" s="46">
        <v>1</v>
      </c>
      <c r="AE184" s="46">
        <v>0</v>
      </c>
      <c r="AF184" s="46">
        <v>0</v>
      </c>
      <c r="AG184" s="46">
        <v>0</v>
      </c>
      <c r="AH184" s="46">
        <f t="shared" si="89"/>
        <v>3</v>
      </c>
      <c r="AI184" s="46">
        <v>3</v>
      </c>
      <c r="AJ184" s="46">
        <v>0</v>
      </c>
      <c r="AK184" s="46">
        <v>0</v>
      </c>
      <c r="AL184" s="46">
        <v>0</v>
      </c>
      <c r="AM184" s="49">
        <v>1</v>
      </c>
      <c r="AN184" s="47">
        <v>44457</v>
      </c>
      <c r="AO184" s="46"/>
      <c r="AP184" s="46"/>
      <c r="AQ184" s="50">
        <f t="shared" si="4"/>
        <v>61</v>
      </c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52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</row>
    <row r="185" spans="1:81" ht="15" customHeight="1" x14ac:dyDescent="0.25">
      <c r="A185" s="46" t="s">
        <v>273</v>
      </c>
      <c r="B185" s="46" t="s">
        <v>93</v>
      </c>
      <c r="C185" s="46" t="s">
        <v>89</v>
      </c>
      <c r="D185" s="46">
        <v>153</v>
      </c>
      <c r="E185" s="46">
        <v>154</v>
      </c>
      <c r="F185" s="47">
        <v>44397</v>
      </c>
      <c r="G185" s="48" t="s">
        <v>89</v>
      </c>
      <c r="H185" s="48" t="s">
        <v>89</v>
      </c>
      <c r="I185" s="46" t="s">
        <v>89</v>
      </c>
      <c r="J185" s="46" t="s">
        <v>89</v>
      </c>
      <c r="K185" s="46" t="s">
        <v>89</v>
      </c>
      <c r="L185" s="46" t="s">
        <v>89</v>
      </c>
      <c r="M185" s="46" t="s">
        <v>89</v>
      </c>
      <c r="N185" s="46" t="s">
        <v>89</v>
      </c>
      <c r="O185" s="46" t="s">
        <v>89</v>
      </c>
      <c r="P185" s="46" t="s">
        <v>89</v>
      </c>
      <c r="Q185" s="46" t="s">
        <v>89</v>
      </c>
      <c r="R185" s="46" t="s">
        <v>89</v>
      </c>
      <c r="S185" s="46" t="s">
        <v>89</v>
      </c>
      <c r="T185" s="46" t="s">
        <v>89</v>
      </c>
      <c r="U185" s="46" t="s">
        <v>89</v>
      </c>
      <c r="V185" s="46" t="s">
        <v>89</v>
      </c>
      <c r="W185" s="46" t="s">
        <v>89</v>
      </c>
      <c r="X185" s="46" t="s">
        <v>89</v>
      </c>
      <c r="Y185" s="46" t="s">
        <v>89</v>
      </c>
      <c r="Z185" s="46" t="s">
        <v>89</v>
      </c>
      <c r="AA185" s="46" t="s">
        <v>89</v>
      </c>
      <c r="AB185" s="46" t="s">
        <v>89</v>
      </c>
      <c r="AC185" s="46" t="s">
        <v>89</v>
      </c>
      <c r="AD185" s="46" t="s">
        <v>89</v>
      </c>
      <c r="AE185" s="46" t="s">
        <v>89</v>
      </c>
      <c r="AF185" s="46" t="s">
        <v>89</v>
      </c>
      <c r="AG185" s="46" t="s">
        <v>89</v>
      </c>
      <c r="AH185" s="46" t="s">
        <v>89</v>
      </c>
      <c r="AI185" s="46" t="s">
        <v>89</v>
      </c>
      <c r="AJ185" s="46" t="s">
        <v>89</v>
      </c>
      <c r="AK185" s="46" t="s">
        <v>89</v>
      </c>
      <c r="AL185" s="46" t="s">
        <v>89</v>
      </c>
      <c r="AM185" s="49">
        <v>1</v>
      </c>
      <c r="AN185" s="46" t="s">
        <v>89</v>
      </c>
      <c r="AO185" s="46"/>
      <c r="AP185" s="46"/>
      <c r="AQ185" s="50" t="str">
        <f t="shared" si="4"/>
        <v>N.A.</v>
      </c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52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</row>
    <row r="186" spans="1:81" ht="15" customHeight="1" x14ac:dyDescent="0.25">
      <c r="A186" s="46" t="s">
        <v>274</v>
      </c>
      <c r="B186" s="46" t="s">
        <v>93</v>
      </c>
      <c r="C186" s="46" t="s">
        <v>89</v>
      </c>
      <c r="D186" s="46">
        <v>126</v>
      </c>
      <c r="E186" s="46">
        <v>127</v>
      </c>
      <c r="F186" s="47">
        <v>44397</v>
      </c>
      <c r="G186" s="48" t="s">
        <v>89</v>
      </c>
      <c r="H186" s="48" t="s">
        <v>89</v>
      </c>
      <c r="I186" s="46" t="s">
        <v>89</v>
      </c>
      <c r="J186" s="46" t="s">
        <v>89</v>
      </c>
      <c r="K186" s="46" t="s">
        <v>89</v>
      </c>
      <c r="L186" s="46" t="s">
        <v>89</v>
      </c>
      <c r="M186" s="46" t="s">
        <v>89</v>
      </c>
      <c r="N186" s="46" t="s">
        <v>89</v>
      </c>
      <c r="O186" s="46" t="s">
        <v>89</v>
      </c>
      <c r="P186" s="46" t="s">
        <v>89</v>
      </c>
      <c r="Q186" s="46" t="s">
        <v>89</v>
      </c>
      <c r="R186" s="46" t="s">
        <v>89</v>
      </c>
      <c r="S186" s="46" t="s">
        <v>89</v>
      </c>
      <c r="T186" s="46" t="s">
        <v>89</v>
      </c>
      <c r="U186" s="46" t="s">
        <v>89</v>
      </c>
      <c r="V186" s="46" t="s">
        <v>89</v>
      </c>
      <c r="W186" s="46" t="s">
        <v>89</v>
      </c>
      <c r="X186" s="46" t="s">
        <v>89</v>
      </c>
      <c r="Y186" s="46" t="s">
        <v>89</v>
      </c>
      <c r="Z186" s="46" t="s">
        <v>89</v>
      </c>
      <c r="AA186" s="46" t="s">
        <v>89</v>
      </c>
      <c r="AB186" s="46" t="s">
        <v>89</v>
      </c>
      <c r="AC186" s="46" t="s">
        <v>89</v>
      </c>
      <c r="AD186" s="46" t="s">
        <v>89</v>
      </c>
      <c r="AE186" s="46" t="s">
        <v>89</v>
      </c>
      <c r="AF186" s="46" t="s">
        <v>89</v>
      </c>
      <c r="AG186" s="46" t="s">
        <v>89</v>
      </c>
      <c r="AH186" s="46" t="s">
        <v>89</v>
      </c>
      <c r="AI186" s="46" t="s">
        <v>89</v>
      </c>
      <c r="AJ186" s="46" t="s">
        <v>89</v>
      </c>
      <c r="AK186" s="46" t="s">
        <v>89</v>
      </c>
      <c r="AL186" s="46" t="s">
        <v>89</v>
      </c>
      <c r="AM186" s="49">
        <v>1</v>
      </c>
      <c r="AN186" s="46" t="s">
        <v>89</v>
      </c>
      <c r="AO186" s="46"/>
      <c r="AP186" s="46"/>
      <c r="AQ186" s="50" t="str">
        <f t="shared" si="4"/>
        <v>N.A.</v>
      </c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52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</row>
    <row r="187" spans="1:81" ht="15" customHeight="1" x14ac:dyDescent="0.25">
      <c r="A187" s="46" t="s">
        <v>275</v>
      </c>
      <c r="B187" s="46" t="s">
        <v>88</v>
      </c>
      <c r="C187" s="46" t="s">
        <v>89</v>
      </c>
      <c r="D187" s="46">
        <v>45</v>
      </c>
      <c r="E187" s="46">
        <v>46</v>
      </c>
      <c r="F187" s="47">
        <v>44397</v>
      </c>
      <c r="G187" s="48" t="s">
        <v>89</v>
      </c>
      <c r="H187" s="48" t="s">
        <v>89</v>
      </c>
      <c r="I187" s="48" t="s">
        <v>89</v>
      </c>
      <c r="J187" s="48" t="s">
        <v>89</v>
      </c>
      <c r="K187" s="48" t="s">
        <v>89</v>
      </c>
      <c r="L187" s="48" t="s">
        <v>89</v>
      </c>
      <c r="M187" s="48" t="s">
        <v>89</v>
      </c>
      <c r="N187" s="48" t="s">
        <v>89</v>
      </c>
      <c r="O187" s="48" t="s">
        <v>89</v>
      </c>
      <c r="P187" s="48" t="s">
        <v>89</v>
      </c>
      <c r="Q187" s="48" t="s">
        <v>89</v>
      </c>
      <c r="R187" s="48" t="s">
        <v>89</v>
      </c>
      <c r="S187" s="48" t="s">
        <v>89</v>
      </c>
      <c r="T187" s="48" t="s">
        <v>89</v>
      </c>
      <c r="U187" s="46">
        <v>90</v>
      </c>
      <c r="V187" s="46">
        <f t="shared" ref="V187:V188" si="90">W187+Z187</f>
        <v>74</v>
      </c>
      <c r="W187" s="46">
        <v>71</v>
      </c>
      <c r="X187" s="46">
        <f t="shared" ref="X187:X188" si="91">W187-Y187</f>
        <v>71</v>
      </c>
      <c r="Y187" s="46">
        <v>0</v>
      </c>
      <c r="Z187" s="46">
        <f t="shared" ref="Z187:Z188" si="92">SUM(AA187:AG187)</f>
        <v>3</v>
      </c>
      <c r="AA187" s="46">
        <v>0</v>
      </c>
      <c r="AB187" s="46">
        <v>0</v>
      </c>
      <c r="AC187" s="46">
        <v>3</v>
      </c>
      <c r="AD187" s="46">
        <v>0</v>
      </c>
      <c r="AE187" s="46">
        <v>0</v>
      </c>
      <c r="AF187" s="46">
        <v>0</v>
      </c>
      <c r="AG187" s="46">
        <v>0</v>
      </c>
      <c r="AH187" s="46">
        <f t="shared" ref="AH187:AH188" si="93">SUM(AI187:AL187)</f>
        <v>16</v>
      </c>
      <c r="AI187" s="46">
        <v>11</v>
      </c>
      <c r="AJ187" s="46">
        <v>4</v>
      </c>
      <c r="AK187" s="46">
        <v>0</v>
      </c>
      <c r="AL187" s="46">
        <v>1</v>
      </c>
      <c r="AM187" s="49">
        <v>1</v>
      </c>
      <c r="AN187" s="47">
        <v>44455</v>
      </c>
      <c r="AO187" s="46"/>
      <c r="AP187" s="46"/>
      <c r="AQ187" s="50">
        <f t="shared" si="4"/>
        <v>58</v>
      </c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52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</row>
    <row r="188" spans="1:81" ht="15" customHeight="1" x14ac:dyDescent="0.25">
      <c r="A188" s="46" t="s">
        <v>276</v>
      </c>
      <c r="B188" s="46" t="s">
        <v>93</v>
      </c>
      <c r="C188" s="46" t="s">
        <v>89</v>
      </c>
      <c r="D188" s="46">
        <v>27</v>
      </c>
      <c r="E188" s="46">
        <v>28</v>
      </c>
      <c r="F188" s="47">
        <v>44397</v>
      </c>
      <c r="G188" s="48" t="s">
        <v>89</v>
      </c>
      <c r="H188" s="48" t="s">
        <v>89</v>
      </c>
      <c r="I188" s="48" t="s">
        <v>89</v>
      </c>
      <c r="J188" s="48" t="s">
        <v>89</v>
      </c>
      <c r="K188" s="48" t="s">
        <v>89</v>
      </c>
      <c r="L188" s="48" t="s">
        <v>89</v>
      </c>
      <c r="M188" s="48" t="s">
        <v>89</v>
      </c>
      <c r="N188" s="48" t="s">
        <v>89</v>
      </c>
      <c r="O188" s="48" t="s">
        <v>89</v>
      </c>
      <c r="P188" s="48" t="s">
        <v>89</v>
      </c>
      <c r="Q188" s="48" t="s">
        <v>89</v>
      </c>
      <c r="R188" s="48" t="s">
        <v>89</v>
      </c>
      <c r="S188" s="48" t="s">
        <v>89</v>
      </c>
      <c r="T188" s="48" t="s">
        <v>89</v>
      </c>
      <c r="U188" s="46">
        <v>92</v>
      </c>
      <c r="V188" s="46">
        <f t="shared" si="90"/>
        <v>87</v>
      </c>
      <c r="W188" s="46">
        <v>85</v>
      </c>
      <c r="X188" s="46">
        <f t="shared" si="91"/>
        <v>85</v>
      </c>
      <c r="Y188" s="46">
        <v>0</v>
      </c>
      <c r="Z188" s="46">
        <f t="shared" si="92"/>
        <v>2</v>
      </c>
      <c r="AA188" s="46">
        <v>0</v>
      </c>
      <c r="AB188" s="46">
        <v>0</v>
      </c>
      <c r="AC188" s="46">
        <v>0</v>
      </c>
      <c r="AD188" s="46">
        <v>0</v>
      </c>
      <c r="AE188" s="46">
        <v>0</v>
      </c>
      <c r="AF188" s="46">
        <v>2</v>
      </c>
      <c r="AG188" s="46">
        <v>0</v>
      </c>
      <c r="AH188" s="46">
        <f t="shared" si="93"/>
        <v>5</v>
      </c>
      <c r="AI188" s="46">
        <v>4</v>
      </c>
      <c r="AJ188" s="46">
        <v>1</v>
      </c>
      <c r="AK188" s="46">
        <v>0</v>
      </c>
      <c r="AL188" s="46">
        <v>0</v>
      </c>
      <c r="AM188" s="49">
        <v>1</v>
      </c>
      <c r="AN188" s="46" t="s">
        <v>89</v>
      </c>
      <c r="AO188" s="46"/>
      <c r="AP188" s="46"/>
      <c r="AQ188" s="50" t="str">
        <f t="shared" si="4"/>
        <v>N.A.</v>
      </c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52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</row>
    <row r="189" spans="1:81" ht="15" customHeight="1" x14ac:dyDescent="0.25">
      <c r="A189" s="46" t="s">
        <v>277</v>
      </c>
      <c r="B189" s="46" t="s">
        <v>88</v>
      </c>
      <c r="C189" s="46" t="s">
        <v>89</v>
      </c>
      <c r="D189" s="46">
        <v>16</v>
      </c>
      <c r="E189" s="46">
        <v>17</v>
      </c>
      <c r="F189" s="47">
        <v>44398</v>
      </c>
      <c r="G189" s="48" t="s">
        <v>89</v>
      </c>
      <c r="H189" s="48" t="s">
        <v>89</v>
      </c>
      <c r="I189" s="46" t="s">
        <v>89</v>
      </c>
      <c r="J189" s="46" t="s">
        <v>89</v>
      </c>
      <c r="K189" s="46" t="s">
        <v>89</v>
      </c>
      <c r="L189" s="46" t="s">
        <v>89</v>
      </c>
      <c r="M189" s="46" t="s">
        <v>89</v>
      </c>
      <c r="N189" s="46" t="s">
        <v>89</v>
      </c>
      <c r="O189" s="46" t="s">
        <v>89</v>
      </c>
      <c r="P189" s="46" t="s">
        <v>89</v>
      </c>
      <c r="Q189" s="46" t="s">
        <v>89</v>
      </c>
      <c r="R189" s="46" t="s">
        <v>89</v>
      </c>
      <c r="S189" s="46" t="s">
        <v>89</v>
      </c>
      <c r="T189" s="46" t="s">
        <v>89</v>
      </c>
      <c r="U189" s="46" t="s">
        <v>89</v>
      </c>
      <c r="V189" s="46" t="s">
        <v>89</v>
      </c>
      <c r="W189" s="46" t="s">
        <v>89</v>
      </c>
      <c r="X189" s="46" t="s">
        <v>89</v>
      </c>
      <c r="Y189" s="46" t="s">
        <v>89</v>
      </c>
      <c r="Z189" s="46" t="s">
        <v>89</v>
      </c>
      <c r="AA189" s="46" t="s">
        <v>89</v>
      </c>
      <c r="AB189" s="46" t="s">
        <v>89</v>
      </c>
      <c r="AC189" s="46" t="s">
        <v>89</v>
      </c>
      <c r="AD189" s="46" t="s">
        <v>89</v>
      </c>
      <c r="AE189" s="46" t="s">
        <v>89</v>
      </c>
      <c r="AF189" s="46" t="s">
        <v>89</v>
      </c>
      <c r="AG189" s="46" t="s">
        <v>89</v>
      </c>
      <c r="AH189" s="46" t="s">
        <v>89</v>
      </c>
      <c r="AI189" s="46" t="s">
        <v>89</v>
      </c>
      <c r="AJ189" s="46" t="s">
        <v>89</v>
      </c>
      <c r="AK189" s="46" t="s">
        <v>89</v>
      </c>
      <c r="AL189" s="46" t="s">
        <v>89</v>
      </c>
      <c r="AM189" s="49">
        <v>1</v>
      </c>
      <c r="AN189" s="46" t="s">
        <v>89</v>
      </c>
      <c r="AO189" s="46"/>
      <c r="AP189" s="46"/>
      <c r="AQ189" s="50" t="str">
        <f t="shared" si="4"/>
        <v>N.A.</v>
      </c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52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</row>
    <row r="190" spans="1:81" ht="15" customHeight="1" x14ac:dyDescent="0.25">
      <c r="A190" s="46" t="s">
        <v>278</v>
      </c>
      <c r="B190" s="46" t="s">
        <v>88</v>
      </c>
      <c r="C190" s="46" t="s">
        <v>89</v>
      </c>
      <c r="D190" s="46">
        <v>46</v>
      </c>
      <c r="E190" s="46">
        <v>47</v>
      </c>
      <c r="F190" s="47">
        <v>44398</v>
      </c>
      <c r="G190" s="48" t="s">
        <v>89</v>
      </c>
      <c r="H190" s="48" t="s">
        <v>89</v>
      </c>
      <c r="I190" s="46" t="s">
        <v>89</v>
      </c>
      <c r="J190" s="46" t="s">
        <v>89</v>
      </c>
      <c r="K190" s="46" t="s">
        <v>89</v>
      </c>
      <c r="L190" s="46" t="s">
        <v>89</v>
      </c>
      <c r="M190" s="46" t="s">
        <v>89</v>
      </c>
      <c r="N190" s="46" t="s">
        <v>89</v>
      </c>
      <c r="O190" s="46" t="s">
        <v>89</v>
      </c>
      <c r="P190" s="46" t="s">
        <v>89</v>
      </c>
      <c r="Q190" s="46" t="s">
        <v>89</v>
      </c>
      <c r="R190" s="46" t="s">
        <v>89</v>
      </c>
      <c r="S190" s="46" t="s">
        <v>89</v>
      </c>
      <c r="T190" s="46" t="s">
        <v>89</v>
      </c>
      <c r="U190" s="46" t="s">
        <v>89</v>
      </c>
      <c r="V190" s="46" t="s">
        <v>89</v>
      </c>
      <c r="W190" s="46" t="s">
        <v>89</v>
      </c>
      <c r="X190" s="46" t="s">
        <v>89</v>
      </c>
      <c r="Y190" s="46" t="s">
        <v>89</v>
      </c>
      <c r="Z190" s="46" t="s">
        <v>89</v>
      </c>
      <c r="AA190" s="46" t="s">
        <v>89</v>
      </c>
      <c r="AB190" s="46" t="s">
        <v>89</v>
      </c>
      <c r="AC190" s="46" t="s">
        <v>89</v>
      </c>
      <c r="AD190" s="46" t="s">
        <v>89</v>
      </c>
      <c r="AE190" s="46" t="s">
        <v>89</v>
      </c>
      <c r="AF190" s="46" t="s">
        <v>89</v>
      </c>
      <c r="AG190" s="46" t="s">
        <v>89</v>
      </c>
      <c r="AH190" s="46" t="s">
        <v>89</v>
      </c>
      <c r="AI190" s="46" t="s">
        <v>89</v>
      </c>
      <c r="AJ190" s="46" t="s">
        <v>89</v>
      </c>
      <c r="AK190" s="46" t="s">
        <v>89</v>
      </c>
      <c r="AL190" s="46" t="s">
        <v>89</v>
      </c>
      <c r="AM190" s="49">
        <v>1</v>
      </c>
      <c r="AN190" s="46" t="s">
        <v>89</v>
      </c>
      <c r="AO190" s="46"/>
      <c r="AP190" s="46"/>
      <c r="AQ190" s="50" t="str">
        <f t="shared" si="4"/>
        <v>N.A.</v>
      </c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52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</row>
    <row r="191" spans="1:81" ht="15" customHeight="1" x14ac:dyDescent="0.25">
      <c r="A191" s="46" t="s">
        <v>279</v>
      </c>
      <c r="B191" s="46" t="s">
        <v>93</v>
      </c>
      <c r="C191" s="46" t="s">
        <v>89</v>
      </c>
      <c r="D191" s="46">
        <v>55</v>
      </c>
      <c r="E191" s="46">
        <v>56</v>
      </c>
      <c r="F191" s="47">
        <v>44398</v>
      </c>
      <c r="G191" s="48" t="s">
        <v>89</v>
      </c>
      <c r="H191" s="48" t="s">
        <v>89</v>
      </c>
      <c r="I191" s="46" t="s">
        <v>89</v>
      </c>
      <c r="J191" s="46" t="s">
        <v>89</v>
      </c>
      <c r="K191" s="46" t="s">
        <v>89</v>
      </c>
      <c r="L191" s="46" t="s">
        <v>89</v>
      </c>
      <c r="M191" s="46" t="s">
        <v>89</v>
      </c>
      <c r="N191" s="46" t="s">
        <v>89</v>
      </c>
      <c r="O191" s="46" t="s">
        <v>89</v>
      </c>
      <c r="P191" s="46" t="s">
        <v>89</v>
      </c>
      <c r="Q191" s="46" t="s">
        <v>89</v>
      </c>
      <c r="R191" s="46" t="s">
        <v>89</v>
      </c>
      <c r="S191" s="46" t="s">
        <v>89</v>
      </c>
      <c r="T191" s="46" t="s">
        <v>89</v>
      </c>
      <c r="U191" s="46" t="s">
        <v>89</v>
      </c>
      <c r="V191" s="46" t="s">
        <v>89</v>
      </c>
      <c r="W191" s="46" t="s">
        <v>89</v>
      </c>
      <c r="X191" s="46" t="s">
        <v>89</v>
      </c>
      <c r="Y191" s="46" t="s">
        <v>89</v>
      </c>
      <c r="Z191" s="46" t="s">
        <v>89</v>
      </c>
      <c r="AA191" s="46" t="s">
        <v>89</v>
      </c>
      <c r="AB191" s="46" t="s">
        <v>89</v>
      </c>
      <c r="AC191" s="46" t="s">
        <v>89</v>
      </c>
      <c r="AD191" s="46" t="s">
        <v>89</v>
      </c>
      <c r="AE191" s="46" t="s">
        <v>89</v>
      </c>
      <c r="AF191" s="46" t="s">
        <v>89</v>
      </c>
      <c r="AG191" s="46" t="s">
        <v>89</v>
      </c>
      <c r="AH191" s="46" t="s">
        <v>89</v>
      </c>
      <c r="AI191" s="46" t="s">
        <v>89</v>
      </c>
      <c r="AJ191" s="46" t="s">
        <v>89</v>
      </c>
      <c r="AK191" s="46" t="s">
        <v>89</v>
      </c>
      <c r="AL191" s="46" t="s">
        <v>89</v>
      </c>
      <c r="AM191" s="46">
        <v>0</v>
      </c>
      <c r="AN191" s="46" t="s">
        <v>89</v>
      </c>
      <c r="AO191" s="46"/>
      <c r="AP191" s="46"/>
      <c r="AQ191" s="50" t="str">
        <f t="shared" si="4"/>
        <v>N.A.</v>
      </c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52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</row>
    <row r="192" spans="1:81" ht="15" customHeight="1" x14ac:dyDescent="0.25">
      <c r="A192" s="46" t="s">
        <v>280</v>
      </c>
      <c r="B192" s="46" t="s">
        <v>93</v>
      </c>
      <c r="C192" s="46" t="s">
        <v>89</v>
      </c>
      <c r="D192" s="46">
        <v>139</v>
      </c>
      <c r="E192" s="46">
        <v>140</v>
      </c>
      <c r="F192" s="47">
        <v>44398</v>
      </c>
      <c r="G192" s="48" t="s">
        <v>89</v>
      </c>
      <c r="H192" s="48" t="s">
        <v>89</v>
      </c>
      <c r="I192" s="48" t="s">
        <v>89</v>
      </c>
      <c r="J192" s="48" t="s">
        <v>89</v>
      </c>
      <c r="K192" s="48" t="s">
        <v>89</v>
      </c>
      <c r="L192" s="48" t="s">
        <v>89</v>
      </c>
      <c r="M192" s="48" t="s">
        <v>89</v>
      </c>
      <c r="N192" s="48" t="s">
        <v>89</v>
      </c>
      <c r="O192" s="48" t="s">
        <v>89</v>
      </c>
      <c r="P192" s="48" t="s">
        <v>89</v>
      </c>
      <c r="Q192" s="48" t="s">
        <v>89</v>
      </c>
      <c r="R192" s="48" t="s">
        <v>89</v>
      </c>
      <c r="S192" s="48" t="s">
        <v>89</v>
      </c>
      <c r="T192" s="48" t="s">
        <v>89</v>
      </c>
      <c r="U192" s="46">
        <v>50</v>
      </c>
      <c r="V192" s="46">
        <f t="shared" ref="V192:V194" si="94">W192+Z192</f>
        <v>49</v>
      </c>
      <c r="W192" s="46">
        <v>48</v>
      </c>
      <c r="X192" s="46">
        <f t="shared" ref="X192:X193" si="95">W192-Y192</f>
        <v>48</v>
      </c>
      <c r="Y192" s="46">
        <v>0</v>
      </c>
      <c r="Z192" s="46">
        <f t="shared" ref="Z192:Z194" si="96">SUM(AA192:AG192)</f>
        <v>1</v>
      </c>
      <c r="AA192" s="46">
        <v>0</v>
      </c>
      <c r="AB192" s="46">
        <v>0</v>
      </c>
      <c r="AC192" s="46">
        <v>0</v>
      </c>
      <c r="AD192" s="46">
        <v>0</v>
      </c>
      <c r="AE192" s="46">
        <v>0</v>
      </c>
      <c r="AF192" s="46">
        <v>1</v>
      </c>
      <c r="AG192" s="46">
        <v>0</v>
      </c>
      <c r="AH192" s="46">
        <f t="shared" ref="AH192:AH194" si="97">SUM(AI192:AL192)</f>
        <v>1</v>
      </c>
      <c r="AI192" s="46">
        <v>1</v>
      </c>
      <c r="AJ192" s="46">
        <v>0</v>
      </c>
      <c r="AK192" s="46">
        <v>0</v>
      </c>
      <c r="AL192" s="46">
        <v>0</v>
      </c>
      <c r="AM192" s="49">
        <v>1</v>
      </c>
      <c r="AN192" s="47">
        <v>44456</v>
      </c>
      <c r="AO192" s="46"/>
      <c r="AP192" s="46"/>
      <c r="AQ192" s="50">
        <f t="shared" si="4"/>
        <v>58</v>
      </c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52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</row>
    <row r="193" spans="1:81" ht="15" customHeight="1" x14ac:dyDescent="0.25">
      <c r="A193" s="46" t="s">
        <v>281</v>
      </c>
      <c r="B193" s="46" t="s">
        <v>93</v>
      </c>
      <c r="C193" s="46" t="s">
        <v>89</v>
      </c>
      <c r="D193" s="46">
        <v>6</v>
      </c>
      <c r="E193" s="46">
        <v>7</v>
      </c>
      <c r="F193" s="47">
        <v>44399</v>
      </c>
      <c r="G193" s="48" t="s">
        <v>89</v>
      </c>
      <c r="H193" s="48" t="s">
        <v>89</v>
      </c>
      <c r="I193" s="46" t="s">
        <v>89</v>
      </c>
      <c r="J193" s="46" t="s">
        <v>89</v>
      </c>
      <c r="K193" s="46" t="s">
        <v>89</v>
      </c>
      <c r="L193" s="46" t="s">
        <v>89</v>
      </c>
      <c r="M193" s="46" t="s">
        <v>89</v>
      </c>
      <c r="N193" s="46" t="s">
        <v>89</v>
      </c>
      <c r="O193" s="46" t="s">
        <v>89</v>
      </c>
      <c r="P193" s="46" t="s">
        <v>89</v>
      </c>
      <c r="Q193" s="46" t="s">
        <v>89</v>
      </c>
      <c r="R193" s="46" t="s">
        <v>89</v>
      </c>
      <c r="S193" s="46" t="s">
        <v>89</v>
      </c>
      <c r="T193" s="46" t="s">
        <v>89</v>
      </c>
      <c r="U193" s="46">
        <v>62</v>
      </c>
      <c r="V193" s="46">
        <f t="shared" si="94"/>
        <v>47</v>
      </c>
      <c r="W193" s="46">
        <v>26</v>
      </c>
      <c r="X193" s="46">
        <f t="shared" si="95"/>
        <v>26</v>
      </c>
      <c r="Y193" s="46">
        <v>0</v>
      </c>
      <c r="Z193" s="46">
        <f t="shared" si="96"/>
        <v>21</v>
      </c>
      <c r="AA193" s="46">
        <v>0</v>
      </c>
      <c r="AB193" s="46">
        <v>0</v>
      </c>
      <c r="AC193" s="46">
        <v>12</v>
      </c>
      <c r="AD193" s="46">
        <v>7</v>
      </c>
      <c r="AE193" s="46">
        <v>0</v>
      </c>
      <c r="AF193" s="46">
        <v>2</v>
      </c>
      <c r="AG193" s="46">
        <v>0</v>
      </c>
      <c r="AH193" s="46">
        <f t="shared" si="97"/>
        <v>15</v>
      </c>
      <c r="AI193" s="46">
        <v>5</v>
      </c>
      <c r="AJ193" s="46">
        <v>10</v>
      </c>
      <c r="AK193" s="46">
        <v>0</v>
      </c>
      <c r="AL193" s="46">
        <v>0</v>
      </c>
      <c r="AM193" s="49">
        <v>1</v>
      </c>
      <c r="AN193" s="47">
        <v>44459</v>
      </c>
      <c r="AO193" s="46"/>
      <c r="AP193" s="46"/>
      <c r="AQ193" s="50">
        <f t="shared" si="4"/>
        <v>60</v>
      </c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52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</row>
    <row r="194" spans="1:81" ht="15" customHeight="1" x14ac:dyDescent="0.25">
      <c r="A194" s="46" t="s">
        <v>282</v>
      </c>
      <c r="B194" s="46" t="s">
        <v>88</v>
      </c>
      <c r="C194" s="46" t="s">
        <v>89</v>
      </c>
      <c r="D194" s="46">
        <v>15</v>
      </c>
      <c r="E194" s="46">
        <v>16</v>
      </c>
      <c r="F194" s="47">
        <v>44399</v>
      </c>
      <c r="G194" s="48" t="s">
        <v>89</v>
      </c>
      <c r="H194" s="48" t="s">
        <v>89</v>
      </c>
      <c r="I194" s="46" t="s">
        <v>89</v>
      </c>
      <c r="J194" s="46" t="s">
        <v>89</v>
      </c>
      <c r="K194" s="46" t="s">
        <v>89</v>
      </c>
      <c r="L194" s="46" t="s">
        <v>89</v>
      </c>
      <c r="M194" s="46" t="s">
        <v>89</v>
      </c>
      <c r="N194" s="46" t="s">
        <v>89</v>
      </c>
      <c r="O194" s="46" t="s">
        <v>89</v>
      </c>
      <c r="P194" s="46" t="s">
        <v>89</v>
      </c>
      <c r="Q194" s="46" t="s">
        <v>89</v>
      </c>
      <c r="R194" s="46" t="s">
        <v>89</v>
      </c>
      <c r="S194" s="46" t="s">
        <v>89</v>
      </c>
      <c r="T194" s="46" t="s">
        <v>89</v>
      </c>
      <c r="U194" s="46">
        <v>75</v>
      </c>
      <c r="V194" s="46">
        <f t="shared" si="94"/>
        <v>75</v>
      </c>
      <c r="W194" s="46">
        <v>75</v>
      </c>
      <c r="X194" s="46">
        <v>67</v>
      </c>
      <c r="Y194" s="46">
        <v>8</v>
      </c>
      <c r="Z194" s="46">
        <f t="shared" si="96"/>
        <v>0</v>
      </c>
      <c r="AA194" s="46">
        <v>0</v>
      </c>
      <c r="AB194" s="46">
        <v>0</v>
      </c>
      <c r="AC194" s="46">
        <v>0</v>
      </c>
      <c r="AD194" s="46">
        <v>0</v>
      </c>
      <c r="AE194" s="46">
        <v>0</v>
      </c>
      <c r="AF194" s="46">
        <v>0</v>
      </c>
      <c r="AG194" s="46">
        <v>0</v>
      </c>
      <c r="AH194" s="46">
        <f t="shared" si="97"/>
        <v>0</v>
      </c>
      <c r="AI194" s="46">
        <v>0</v>
      </c>
      <c r="AJ194" s="46">
        <v>0</v>
      </c>
      <c r="AK194" s="46">
        <v>0</v>
      </c>
      <c r="AL194" s="46">
        <v>0</v>
      </c>
      <c r="AM194" s="49">
        <v>1</v>
      </c>
      <c r="AN194" s="47">
        <v>44447</v>
      </c>
      <c r="AO194" s="46"/>
      <c r="AP194" s="46"/>
      <c r="AQ194" s="50">
        <f t="shared" si="4"/>
        <v>48</v>
      </c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52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</row>
    <row r="195" spans="1:81" ht="15" customHeight="1" x14ac:dyDescent="0.25">
      <c r="A195" s="46" t="s">
        <v>283</v>
      </c>
      <c r="B195" s="46" t="s">
        <v>88</v>
      </c>
      <c r="C195" s="46" t="s">
        <v>89</v>
      </c>
      <c r="D195" s="46">
        <v>46</v>
      </c>
      <c r="E195" s="46">
        <v>47</v>
      </c>
      <c r="F195" s="47">
        <v>44399</v>
      </c>
      <c r="G195" s="48" t="s">
        <v>89</v>
      </c>
      <c r="H195" s="48" t="s">
        <v>89</v>
      </c>
      <c r="I195" s="46" t="s">
        <v>89</v>
      </c>
      <c r="J195" s="46" t="s">
        <v>89</v>
      </c>
      <c r="K195" s="46" t="s">
        <v>89</v>
      </c>
      <c r="L195" s="46" t="s">
        <v>89</v>
      </c>
      <c r="M195" s="46" t="s">
        <v>89</v>
      </c>
      <c r="N195" s="46" t="s">
        <v>89</v>
      </c>
      <c r="O195" s="46" t="s">
        <v>89</v>
      </c>
      <c r="P195" s="46" t="s">
        <v>89</v>
      </c>
      <c r="Q195" s="46" t="s">
        <v>89</v>
      </c>
      <c r="R195" s="46" t="s">
        <v>89</v>
      </c>
      <c r="S195" s="46" t="s">
        <v>89</v>
      </c>
      <c r="T195" s="46" t="s">
        <v>89</v>
      </c>
      <c r="U195" s="46" t="s">
        <v>89</v>
      </c>
      <c r="V195" s="46" t="s">
        <v>89</v>
      </c>
      <c r="W195" s="46" t="s">
        <v>89</v>
      </c>
      <c r="X195" s="46" t="s">
        <v>89</v>
      </c>
      <c r="Y195" s="46" t="s">
        <v>89</v>
      </c>
      <c r="Z195" s="46" t="s">
        <v>89</v>
      </c>
      <c r="AA195" s="46" t="s">
        <v>89</v>
      </c>
      <c r="AB195" s="46" t="s">
        <v>89</v>
      </c>
      <c r="AC195" s="46" t="s">
        <v>89</v>
      </c>
      <c r="AD195" s="46" t="s">
        <v>89</v>
      </c>
      <c r="AE195" s="46" t="s">
        <v>89</v>
      </c>
      <c r="AF195" s="46" t="s">
        <v>89</v>
      </c>
      <c r="AG195" s="46" t="s">
        <v>89</v>
      </c>
      <c r="AH195" s="46" t="s">
        <v>89</v>
      </c>
      <c r="AI195" s="46" t="s">
        <v>89</v>
      </c>
      <c r="AJ195" s="46">
        <v>0</v>
      </c>
      <c r="AK195" s="46" t="s">
        <v>89</v>
      </c>
      <c r="AL195" s="46" t="s">
        <v>89</v>
      </c>
      <c r="AM195" s="49">
        <v>1</v>
      </c>
      <c r="AN195" s="46" t="s">
        <v>89</v>
      </c>
      <c r="AO195" s="46"/>
      <c r="AP195" s="46"/>
      <c r="AQ195" s="50" t="str">
        <f t="shared" si="4"/>
        <v>N.A.</v>
      </c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52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</row>
    <row r="196" spans="1:81" ht="15" customHeight="1" x14ac:dyDescent="0.25">
      <c r="A196" s="46" t="s">
        <v>284</v>
      </c>
      <c r="B196" s="46" t="s">
        <v>93</v>
      </c>
      <c r="C196" s="46" t="s">
        <v>89</v>
      </c>
      <c r="D196" s="46">
        <v>146</v>
      </c>
      <c r="E196" s="46">
        <v>147</v>
      </c>
      <c r="F196" s="47">
        <v>44399</v>
      </c>
      <c r="G196" s="48" t="s">
        <v>89</v>
      </c>
      <c r="H196" s="48" t="s">
        <v>89</v>
      </c>
      <c r="I196" s="46" t="s">
        <v>89</v>
      </c>
      <c r="J196" s="46" t="s">
        <v>89</v>
      </c>
      <c r="K196" s="46" t="s">
        <v>89</v>
      </c>
      <c r="L196" s="46" t="s">
        <v>89</v>
      </c>
      <c r="M196" s="46" t="s">
        <v>89</v>
      </c>
      <c r="N196" s="46" t="s">
        <v>89</v>
      </c>
      <c r="O196" s="46" t="s">
        <v>89</v>
      </c>
      <c r="P196" s="46" t="s">
        <v>89</v>
      </c>
      <c r="Q196" s="46" t="s">
        <v>89</v>
      </c>
      <c r="R196" s="46" t="s">
        <v>89</v>
      </c>
      <c r="S196" s="46" t="s">
        <v>89</v>
      </c>
      <c r="T196" s="46" t="s">
        <v>89</v>
      </c>
      <c r="U196" s="46" t="s">
        <v>89</v>
      </c>
      <c r="V196" s="46" t="s">
        <v>89</v>
      </c>
      <c r="W196" s="46" t="s">
        <v>89</v>
      </c>
      <c r="X196" s="46" t="s">
        <v>89</v>
      </c>
      <c r="Y196" s="46" t="s">
        <v>89</v>
      </c>
      <c r="Z196" s="46" t="s">
        <v>89</v>
      </c>
      <c r="AA196" s="46" t="s">
        <v>89</v>
      </c>
      <c r="AB196" s="46" t="s">
        <v>89</v>
      </c>
      <c r="AC196" s="46" t="s">
        <v>89</v>
      </c>
      <c r="AD196" s="46" t="s">
        <v>89</v>
      </c>
      <c r="AE196" s="46" t="s">
        <v>89</v>
      </c>
      <c r="AF196" s="46" t="s">
        <v>89</v>
      </c>
      <c r="AG196" s="46" t="s">
        <v>89</v>
      </c>
      <c r="AH196" s="46" t="s">
        <v>89</v>
      </c>
      <c r="AI196" s="46" t="s">
        <v>89</v>
      </c>
      <c r="AJ196" s="46" t="s">
        <v>89</v>
      </c>
      <c r="AK196" s="46" t="s">
        <v>89</v>
      </c>
      <c r="AL196" s="46" t="s">
        <v>89</v>
      </c>
      <c r="AM196" s="46">
        <v>0</v>
      </c>
      <c r="AN196" s="46" t="s">
        <v>89</v>
      </c>
      <c r="AO196" s="46"/>
      <c r="AP196" s="46"/>
      <c r="AQ196" s="50" t="str">
        <f t="shared" si="4"/>
        <v>N.A.</v>
      </c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52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</row>
    <row r="197" spans="1:81" ht="15" customHeight="1" x14ac:dyDescent="0.25">
      <c r="A197" s="46" t="s">
        <v>285</v>
      </c>
      <c r="B197" s="46" t="s">
        <v>93</v>
      </c>
      <c r="C197" s="46" t="s">
        <v>89</v>
      </c>
      <c r="D197" s="46">
        <v>147</v>
      </c>
      <c r="E197" s="46">
        <v>148</v>
      </c>
      <c r="F197" s="47">
        <v>44399</v>
      </c>
      <c r="G197" s="48" t="s">
        <v>89</v>
      </c>
      <c r="H197" s="48" t="s">
        <v>89</v>
      </c>
      <c r="I197" s="46" t="s">
        <v>89</v>
      </c>
      <c r="J197" s="46" t="s">
        <v>89</v>
      </c>
      <c r="K197" s="46" t="s">
        <v>89</v>
      </c>
      <c r="L197" s="46" t="s">
        <v>89</v>
      </c>
      <c r="M197" s="46" t="s">
        <v>89</v>
      </c>
      <c r="N197" s="46" t="s">
        <v>89</v>
      </c>
      <c r="O197" s="46" t="s">
        <v>89</v>
      </c>
      <c r="P197" s="46" t="s">
        <v>89</v>
      </c>
      <c r="Q197" s="46" t="s">
        <v>89</v>
      </c>
      <c r="R197" s="46" t="s">
        <v>89</v>
      </c>
      <c r="S197" s="46" t="s">
        <v>89</v>
      </c>
      <c r="T197" s="46" t="s">
        <v>89</v>
      </c>
      <c r="U197" s="46">
        <v>115</v>
      </c>
      <c r="V197" s="46">
        <f t="shared" ref="V197:V199" si="98">W197+Z197</f>
        <v>109</v>
      </c>
      <c r="W197" s="46">
        <v>107</v>
      </c>
      <c r="X197" s="46">
        <f t="shared" ref="X197:X199" si="99">W197-Y197</f>
        <v>105</v>
      </c>
      <c r="Y197" s="46">
        <v>2</v>
      </c>
      <c r="Z197" s="46">
        <f t="shared" ref="Z197:Z199" si="100">SUM(AA197:AG197)</f>
        <v>2</v>
      </c>
      <c r="AA197" s="46">
        <v>0</v>
      </c>
      <c r="AB197" s="46">
        <v>0</v>
      </c>
      <c r="AC197" s="46">
        <v>2</v>
      </c>
      <c r="AD197" s="46">
        <v>0</v>
      </c>
      <c r="AE197" s="46">
        <v>0</v>
      </c>
      <c r="AF197" s="46">
        <v>0</v>
      </c>
      <c r="AG197" s="46">
        <v>0</v>
      </c>
      <c r="AH197" s="46">
        <f t="shared" ref="AH197:AH199" si="101">SUM(AI197:AL197)</f>
        <v>6</v>
      </c>
      <c r="AI197" s="46">
        <v>6</v>
      </c>
      <c r="AJ197" s="46">
        <v>0</v>
      </c>
      <c r="AK197" s="46">
        <v>0</v>
      </c>
      <c r="AL197" s="46">
        <v>0</v>
      </c>
      <c r="AM197" s="49">
        <v>1</v>
      </c>
      <c r="AN197" s="47">
        <v>44454</v>
      </c>
      <c r="AO197" s="46"/>
      <c r="AP197" s="46"/>
      <c r="AQ197" s="50">
        <f t="shared" si="4"/>
        <v>55</v>
      </c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52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</row>
    <row r="198" spans="1:81" ht="15" customHeight="1" x14ac:dyDescent="0.25">
      <c r="A198" s="46" t="s">
        <v>286</v>
      </c>
      <c r="B198" s="46" t="s">
        <v>93</v>
      </c>
      <c r="C198" s="46" t="s">
        <v>89</v>
      </c>
      <c r="D198" s="46">
        <v>6</v>
      </c>
      <c r="E198" s="46">
        <v>7</v>
      </c>
      <c r="F198" s="47">
        <v>44400</v>
      </c>
      <c r="G198" s="48" t="s">
        <v>89</v>
      </c>
      <c r="H198" s="48" t="s">
        <v>89</v>
      </c>
      <c r="I198" s="48" t="s">
        <v>89</v>
      </c>
      <c r="J198" s="48" t="s">
        <v>89</v>
      </c>
      <c r="K198" s="48" t="s">
        <v>89</v>
      </c>
      <c r="L198" s="48" t="s">
        <v>89</v>
      </c>
      <c r="M198" s="48" t="s">
        <v>89</v>
      </c>
      <c r="N198" s="48" t="s">
        <v>89</v>
      </c>
      <c r="O198" s="48" t="s">
        <v>89</v>
      </c>
      <c r="P198" s="48" t="s">
        <v>89</v>
      </c>
      <c r="Q198" s="48" t="s">
        <v>89</v>
      </c>
      <c r="R198" s="48" t="s">
        <v>89</v>
      </c>
      <c r="S198" s="48" t="s">
        <v>89</v>
      </c>
      <c r="T198" s="48" t="s">
        <v>89</v>
      </c>
      <c r="U198" s="46">
        <v>52</v>
      </c>
      <c r="V198" s="46">
        <f t="shared" si="98"/>
        <v>49</v>
      </c>
      <c r="W198" s="46">
        <v>47</v>
      </c>
      <c r="X198" s="46">
        <f t="shared" si="99"/>
        <v>47</v>
      </c>
      <c r="Y198" s="46">
        <v>0</v>
      </c>
      <c r="Z198" s="46">
        <f t="shared" si="100"/>
        <v>2</v>
      </c>
      <c r="AA198" s="46">
        <v>0</v>
      </c>
      <c r="AB198" s="46">
        <v>0</v>
      </c>
      <c r="AC198" s="46">
        <v>1</v>
      </c>
      <c r="AD198" s="46">
        <v>0</v>
      </c>
      <c r="AE198" s="46">
        <v>0</v>
      </c>
      <c r="AF198" s="46">
        <v>0</v>
      </c>
      <c r="AG198" s="46">
        <v>1</v>
      </c>
      <c r="AH198" s="46">
        <f t="shared" si="101"/>
        <v>3</v>
      </c>
      <c r="AI198" s="46">
        <v>2</v>
      </c>
      <c r="AJ198" s="46">
        <v>1</v>
      </c>
      <c r="AK198" s="46">
        <v>0</v>
      </c>
      <c r="AL198" s="46">
        <v>0</v>
      </c>
      <c r="AM198" s="49">
        <v>1</v>
      </c>
      <c r="AN198" s="47">
        <v>44459</v>
      </c>
      <c r="AO198" s="46"/>
      <c r="AP198" s="46"/>
      <c r="AQ198" s="50">
        <f t="shared" si="4"/>
        <v>59</v>
      </c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52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</row>
    <row r="199" spans="1:81" ht="15" customHeight="1" x14ac:dyDescent="0.25">
      <c r="A199" s="46" t="s">
        <v>287</v>
      </c>
      <c r="B199" s="46" t="s">
        <v>88</v>
      </c>
      <c r="C199" s="46" t="s">
        <v>89</v>
      </c>
      <c r="D199" s="46">
        <v>27</v>
      </c>
      <c r="E199" s="46">
        <v>28</v>
      </c>
      <c r="F199" s="47">
        <v>44400</v>
      </c>
      <c r="G199" s="48" t="s">
        <v>89</v>
      </c>
      <c r="H199" s="48" t="s">
        <v>89</v>
      </c>
      <c r="I199" s="48" t="s">
        <v>89</v>
      </c>
      <c r="J199" s="48" t="s">
        <v>89</v>
      </c>
      <c r="K199" s="48" t="s">
        <v>89</v>
      </c>
      <c r="L199" s="48" t="s">
        <v>89</v>
      </c>
      <c r="M199" s="48" t="s">
        <v>89</v>
      </c>
      <c r="N199" s="48" t="s">
        <v>89</v>
      </c>
      <c r="O199" s="48" t="s">
        <v>89</v>
      </c>
      <c r="P199" s="48" t="s">
        <v>89</v>
      </c>
      <c r="Q199" s="48" t="s">
        <v>89</v>
      </c>
      <c r="R199" s="48" t="s">
        <v>89</v>
      </c>
      <c r="S199" s="48" t="s">
        <v>89</v>
      </c>
      <c r="T199" s="48" t="s">
        <v>89</v>
      </c>
      <c r="U199" s="46">
        <v>102</v>
      </c>
      <c r="V199" s="46">
        <f t="shared" si="98"/>
        <v>101</v>
      </c>
      <c r="W199" s="46">
        <v>83</v>
      </c>
      <c r="X199" s="46">
        <f t="shared" si="99"/>
        <v>76</v>
      </c>
      <c r="Y199" s="46">
        <v>7</v>
      </c>
      <c r="Z199" s="46">
        <f t="shared" si="100"/>
        <v>18</v>
      </c>
      <c r="AA199" s="46">
        <v>0</v>
      </c>
      <c r="AB199" s="46">
        <v>2</v>
      </c>
      <c r="AC199" s="46">
        <v>13</v>
      </c>
      <c r="AD199" s="46">
        <v>0</v>
      </c>
      <c r="AE199" s="46">
        <v>0</v>
      </c>
      <c r="AF199" s="46">
        <v>2</v>
      </c>
      <c r="AG199" s="46">
        <v>1</v>
      </c>
      <c r="AH199" s="46">
        <f t="shared" si="101"/>
        <v>1</v>
      </c>
      <c r="AI199" s="46">
        <v>1</v>
      </c>
      <c r="AJ199" s="46">
        <v>0</v>
      </c>
      <c r="AK199" s="46">
        <v>0</v>
      </c>
      <c r="AL199" s="46">
        <v>0</v>
      </c>
      <c r="AM199" s="49">
        <v>1</v>
      </c>
      <c r="AN199" s="47">
        <v>44458</v>
      </c>
      <c r="AO199" s="46"/>
      <c r="AP199" s="46"/>
      <c r="AQ199" s="50">
        <f t="shared" si="4"/>
        <v>58</v>
      </c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52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</row>
    <row r="200" spans="1:81" ht="15" customHeight="1" x14ac:dyDescent="0.25">
      <c r="A200" s="46" t="s">
        <v>288</v>
      </c>
      <c r="B200" s="46" t="s">
        <v>93</v>
      </c>
      <c r="C200" s="46" t="s">
        <v>89</v>
      </c>
      <c r="D200" s="46">
        <v>135</v>
      </c>
      <c r="E200" s="46">
        <v>136</v>
      </c>
      <c r="F200" s="47">
        <v>44401</v>
      </c>
      <c r="G200" s="48" t="s">
        <v>89</v>
      </c>
      <c r="H200" s="48" t="s">
        <v>89</v>
      </c>
      <c r="I200" s="48" t="s">
        <v>89</v>
      </c>
      <c r="J200" s="48" t="s">
        <v>89</v>
      </c>
      <c r="K200" s="48" t="s">
        <v>89</v>
      </c>
      <c r="L200" s="48" t="s">
        <v>89</v>
      </c>
      <c r="M200" s="48" t="s">
        <v>89</v>
      </c>
      <c r="N200" s="48" t="s">
        <v>89</v>
      </c>
      <c r="O200" s="48" t="s">
        <v>89</v>
      </c>
      <c r="P200" s="48" t="s">
        <v>89</v>
      </c>
      <c r="Q200" s="48" t="s">
        <v>89</v>
      </c>
      <c r="R200" s="48" t="s">
        <v>89</v>
      </c>
      <c r="S200" s="48" t="s">
        <v>89</v>
      </c>
      <c r="T200" s="48" t="s">
        <v>89</v>
      </c>
      <c r="U200" s="48" t="s">
        <v>89</v>
      </c>
      <c r="V200" s="48" t="s">
        <v>89</v>
      </c>
      <c r="W200" s="48" t="s">
        <v>89</v>
      </c>
      <c r="X200" s="48" t="s">
        <v>89</v>
      </c>
      <c r="Y200" s="48" t="s">
        <v>89</v>
      </c>
      <c r="Z200" s="48" t="s">
        <v>89</v>
      </c>
      <c r="AA200" s="48" t="s">
        <v>89</v>
      </c>
      <c r="AB200" s="48" t="s">
        <v>89</v>
      </c>
      <c r="AC200" s="48" t="s">
        <v>89</v>
      </c>
      <c r="AD200" s="48" t="s">
        <v>89</v>
      </c>
      <c r="AE200" s="48" t="s">
        <v>89</v>
      </c>
      <c r="AF200" s="48" t="s">
        <v>89</v>
      </c>
      <c r="AG200" s="48" t="s">
        <v>89</v>
      </c>
      <c r="AH200" s="48" t="s">
        <v>89</v>
      </c>
      <c r="AI200" s="48" t="s">
        <v>89</v>
      </c>
      <c r="AJ200" s="48" t="s">
        <v>89</v>
      </c>
      <c r="AK200" s="48" t="s">
        <v>89</v>
      </c>
      <c r="AL200" s="48" t="s">
        <v>89</v>
      </c>
      <c r="AM200" s="49">
        <v>1</v>
      </c>
      <c r="AN200" s="46" t="s">
        <v>89</v>
      </c>
      <c r="AO200" s="46"/>
      <c r="AP200" s="46"/>
      <c r="AQ200" s="50" t="str">
        <f t="shared" si="4"/>
        <v>N.A.</v>
      </c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52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</row>
    <row r="201" spans="1:81" ht="15" customHeight="1" x14ac:dyDescent="0.25">
      <c r="A201" s="46" t="s">
        <v>289</v>
      </c>
      <c r="B201" s="46" t="s">
        <v>93</v>
      </c>
      <c r="C201" s="46" t="s">
        <v>89</v>
      </c>
      <c r="D201" s="46">
        <v>38</v>
      </c>
      <c r="E201" s="46">
        <v>39</v>
      </c>
      <c r="F201" s="47">
        <v>44401</v>
      </c>
      <c r="G201" s="48" t="s">
        <v>89</v>
      </c>
      <c r="H201" s="48" t="s">
        <v>89</v>
      </c>
      <c r="I201" s="48" t="s">
        <v>89</v>
      </c>
      <c r="J201" s="48" t="s">
        <v>89</v>
      </c>
      <c r="K201" s="48" t="s">
        <v>89</v>
      </c>
      <c r="L201" s="48" t="s">
        <v>89</v>
      </c>
      <c r="M201" s="48" t="s">
        <v>89</v>
      </c>
      <c r="N201" s="48" t="s">
        <v>89</v>
      </c>
      <c r="O201" s="48" t="s">
        <v>89</v>
      </c>
      <c r="P201" s="48" t="s">
        <v>89</v>
      </c>
      <c r="Q201" s="48" t="s">
        <v>89</v>
      </c>
      <c r="R201" s="48" t="s">
        <v>89</v>
      </c>
      <c r="S201" s="48" t="s">
        <v>89</v>
      </c>
      <c r="T201" s="48" t="s">
        <v>89</v>
      </c>
      <c r="U201" s="46">
        <v>70</v>
      </c>
      <c r="V201" s="46">
        <f t="shared" ref="V201:V202" si="102">W201+Z201</f>
        <v>67</v>
      </c>
      <c r="W201" s="46">
        <v>64</v>
      </c>
      <c r="X201" s="46">
        <f t="shared" ref="X201:X202" si="103">W201-Y201</f>
        <v>64</v>
      </c>
      <c r="Y201" s="46">
        <v>0</v>
      </c>
      <c r="Z201" s="46">
        <f t="shared" ref="Z201:Z202" si="104">SUM(AA201:AG201)</f>
        <v>3</v>
      </c>
      <c r="AA201" s="46">
        <v>2</v>
      </c>
      <c r="AB201" s="46">
        <v>0</v>
      </c>
      <c r="AC201" s="46">
        <v>1</v>
      </c>
      <c r="AD201" s="46">
        <v>0</v>
      </c>
      <c r="AE201" s="46">
        <v>0</v>
      </c>
      <c r="AF201" s="46">
        <v>0</v>
      </c>
      <c r="AG201" s="46">
        <v>0</v>
      </c>
      <c r="AH201" s="46">
        <f t="shared" ref="AH201:AH202" si="105">SUM(AI201:AL201)</f>
        <v>3</v>
      </c>
      <c r="AI201" s="46">
        <v>3</v>
      </c>
      <c r="AJ201" s="46">
        <v>0</v>
      </c>
      <c r="AK201" s="46">
        <v>0</v>
      </c>
      <c r="AL201" s="46">
        <v>0</v>
      </c>
      <c r="AM201" s="49">
        <v>1</v>
      </c>
      <c r="AN201" s="47">
        <v>44460</v>
      </c>
      <c r="AO201" s="46"/>
      <c r="AP201" s="46"/>
      <c r="AQ201" s="50">
        <f t="shared" si="4"/>
        <v>59</v>
      </c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52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</row>
    <row r="202" spans="1:81" ht="15" customHeight="1" x14ac:dyDescent="0.25">
      <c r="A202" s="46" t="s">
        <v>290</v>
      </c>
      <c r="B202" s="46" t="s">
        <v>93</v>
      </c>
      <c r="C202" s="46" t="s">
        <v>89</v>
      </c>
      <c r="D202" s="46">
        <v>111</v>
      </c>
      <c r="E202" s="46">
        <v>112</v>
      </c>
      <c r="F202" s="47">
        <v>44402</v>
      </c>
      <c r="G202" s="48" t="s">
        <v>89</v>
      </c>
      <c r="H202" s="48" t="s">
        <v>89</v>
      </c>
      <c r="I202" s="48" t="s">
        <v>89</v>
      </c>
      <c r="J202" s="48" t="s">
        <v>89</v>
      </c>
      <c r="K202" s="48" t="s">
        <v>89</v>
      </c>
      <c r="L202" s="48" t="s">
        <v>89</v>
      </c>
      <c r="M202" s="48" t="s">
        <v>89</v>
      </c>
      <c r="N202" s="48" t="s">
        <v>89</v>
      </c>
      <c r="O202" s="48" t="s">
        <v>89</v>
      </c>
      <c r="P202" s="48" t="s">
        <v>89</v>
      </c>
      <c r="Q202" s="48" t="s">
        <v>89</v>
      </c>
      <c r="R202" s="48" t="s">
        <v>89</v>
      </c>
      <c r="S202" s="48" t="s">
        <v>89</v>
      </c>
      <c r="T202" s="48" t="s">
        <v>89</v>
      </c>
      <c r="U202" s="46">
        <v>95</v>
      </c>
      <c r="V202" s="46">
        <f t="shared" si="102"/>
        <v>88</v>
      </c>
      <c r="W202" s="46">
        <v>85</v>
      </c>
      <c r="X202" s="46">
        <f t="shared" si="103"/>
        <v>84</v>
      </c>
      <c r="Y202" s="46">
        <v>1</v>
      </c>
      <c r="Z202" s="46">
        <f t="shared" si="104"/>
        <v>3</v>
      </c>
      <c r="AA202" s="46">
        <v>1</v>
      </c>
      <c r="AB202" s="46">
        <v>0</v>
      </c>
      <c r="AC202" s="46">
        <v>2</v>
      </c>
      <c r="AD202" s="46">
        <v>0</v>
      </c>
      <c r="AE202" s="46">
        <v>0</v>
      </c>
      <c r="AF202" s="46">
        <v>0</v>
      </c>
      <c r="AG202" s="46">
        <v>0</v>
      </c>
      <c r="AH202" s="46">
        <f t="shared" si="105"/>
        <v>7</v>
      </c>
      <c r="AI202" s="46">
        <v>7</v>
      </c>
      <c r="AJ202" s="46">
        <v>0</v>
      </c>
      <c r="AK202" s="46">
        <v>0</v>
      </c>
      <c r="AL202" s="46">
        <v>0</v>
      </c>
      <c r="AM202" s="46">
        <v>1</v>
      </c>
      <c r="AN202" s="47">
        <v>44454</v>
      </c>
      <c r="AO202" s="46"/>
      <c r="AP202" s="46"/>
      <c r="AQ202" s="50">
        <f t="shared" si="4"/>
        <v>52</v>
      </c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52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</row>
    <row r="203" spans="1:81" ht="15" customHeight="1" x14ac:dyDescent="0.25">
      <c r="A203" s="46" t="s">
        <v>291</v>
      </c>
      <c r="B203" s="46" t="s">
        <v>88</v>
      </c>
      <c r="C203" s="46" t="s">
        <v>89</v>
      </c>
      <c r="D203" s="46">
        <v>102</v>
      </c>
      <c r="E203" s="46">
        <v>103</v>
      </c>
      <c r="F203" s="47">
        <v>44402</v>
      </c>
      <c r="G203" s="48" t="s">
        <v>89</v>
      </c>
      <c r="H203" s="48" t="s">
        <v>89</v>
      </c>
      <c r="I203" s="48" t="s">
        <v>89</v>
      </c>
      <c r="J203" s="48" t="s">
        <v>89</v>
      </c>
      <c r="K203" s="48" t="s">
        <v>89</v>
      </c>
      <c r="L203" s="48" t="s">
        <v>89</v>
      </c>
      <c r="M203" s="48" t="s">
        <v>89</v>
      </c>
      <c r="N203" s="48" t="s">
        <v>89</v>
      </c>
      <c r="O203" s="48" t="s">
        <v>89</v>
      </c>
      <c r="P203" s="48" t="s">
        <v>89</v>
      </c>
      <c r="Q203" s="48" t="s">
        <v>89</v>
      </c>
      <c r="R203" s="48" t="s">
        <v>89</v>
      </c>
      <c r="S203" s="48" t="s">
        <v>89</v>
      </c>
      <c r="T203" s="48" t="s">
        <v>89</v>
      </c>
      <c r="U203" s="48" t="s">
        <v>89</v>
      </c>
      <c r="V203" s="48" t="s">
        <v>89</v>
      </c>
      <c r="W203" s="48" t="s">
        <v>89</v>
      </c>
      <c r="X203" s="48" t="s">
        <v>89</v>
      </c>
      <c r="Y203" s="48" t="s">
        <v>89</v>
      </c>
      <c r="Z203" s="48" t="s">
        <v>89</v>
      </c>
      <c r="AA203" s="48" t="s">
        <v>89</v>
      </c>
      <c r="AB203" s="48" t="s">
        <v>89</v>
      </c>
      <c r="AC203" s="48" t="s">
        <v>89</v>
      </c>
      <c r="AD203" s="48" t="s">
        <v>89</v>
      </c>
      <c r="AE203" s="48" t="s">
        <v>89</v>
      </c>
      <c r="AF203" s="48" t="s">
        <v>89</v>
      </c>
      <c r="AG203" s="48" t="s">
        <v>89</v>
      </c>
      <c r="AH203" s="48" t="s">
        <v>89</v>
      </c>
      <c r="AI203" s="48" t="s">
        <v>89</v>
      </c>
      <c r="AJ203" s="48" t="s">
        <v>89</v>
      </c>
      <c r="AK203" s="48" t="s">
        <v>89</v>
      </c>
      <c r="AL203" s="48" t="s">
        <v>89</v>
      </c>
      <c r="AM203" s="46">
        <v>0</v>
      </c>
      <c r="AN203" s="48" t="s">
        <v>89</v>
      </c>
      <c r="AO203" s="46"/>
      <c r="AP203" s="46"/>
      <c r="AQ203" s="50" t="str">
        <f t="shared" si="4"/>
        <v>N.A.</v>
      </c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52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</row>
    <row r="204" spans="1:81" ht="15" customHeight="1" x14ac:dyDescent="0.25">
      <c r="A204" s="46" t="s">
        <v>292</v>
      </c>
      <c r="B204" s="46" t="s">
        <v>88</v>
      </c>
      <c r="C204" s="46" t="s">
        <v>89</v>
      </c>
      <c r="D204" s="46">
        <v>99</v>
      </c>
      <c r="E204" s="46">
        <v>100</v>
      </c>
      <c r="F204" s="47">
        <v>44403</v>
      </c>
      <c r="G204" s="48" t="s">
        <v>89</v>
      </c>
      <c r="H204" s="48" t="s">
        <v>89</v>
      </c>
      <c r="I204" s="48" t="s">
        <v>89</v>
      </c>
      <c r="J204" s="48" t="s">
        <v>89</v>
      </c>
      <c r="K204" s="48" t="s">
        <v>89</v>
      </c>
      <c r="L204" s="48" t="s">
        <v>89</v>
      </c>
      <c r="M204" s="48" t="s">
        <v>89</v>
      </c>
      <c r="N204" s="48" t="s">
        <v>89</v>
      </c>
      <c r="O204" s="48" t="s">
        <v>89</v>
      </c>
      <c r="P204" s="48" t="s">
        <v>89</v>
      </c>
      <c r="Q204" s="48" t="s">
        <v>89</v>
      </c>
      <c r="R204" s="48" t="s">
        <v>89</v>
      </c>
      <c r="S204" s="48" t="s">
        <v>89</v>
      </c>
      <c r="T204" s="48" t="s">
        <v>89</v>
      </c>
      <c r="U204" s="46">
        <v>111</v>
      </c>
      <c r="V204" s="46">
        <f t="shared" ref="V204:V209" si="106">W204+Z204</f>
        <v>110</v>
      </c>
      <c r="W204" s="46">
        <v>110</v>
      </c>
      <c r="X204" s="46">
        <f t="shared" ref="X204:X208" si="107">W204-Y204</f>
        <v>110</v>
      </c>
      <c r="Y204" s="46">
        <v>0</v>
      </c>
      <c r="Z204" s="46">
        <f t="shared" ref="Z204:Z209" si="108">SUM(AA204:AG204)</f>
        <v>0</v>
      </c>
      <c r="AA204" s="46">
        <v>0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f t="shared" ref="AH204:AH209" si="109">SUM(AI204:AL204)</f>
        <v>1</v>
      </c>
      <c r="AI204" s="46">
        <v>1</v>
      </c>
      <c r="AJ204" s="46">
        <v>0</v>
      </c>
      <c r="AK204" s="46">
        <v>0</v>
      </c>
      <c r="AL204" s="46">
        <v>0</v>
      </c>
      <c r="AM204" s="49">
        <v>1</v>
      </c>
      <c r="AN204" s="47">
        <v>44459</v>
      </c>
      <c r="AO204" s="46"/>
      <c r="AP204" s="46"/>
      <c r="AQ204" s="50">
        <f t="shared" si="4"/>
        <v>56</v>
      </c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52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</row>
    <row r="205" spans="1:81" ht="15" customHeight="1" x14ac:dyDescent="0.25">
      <c r="A205" s="46" t="s">
        <v>293</v>
      </c>
      <c r="B205" s="46" t="s">
        <v>93</v>
      </c>
      <c r="C205" s="46" t="s">
        <v>89</v>
      </c>
      <c r="D205" s="46">
        <v>36</v>
      </c>
      <c r="E205" s="46">
        <v>37</v>
      </c>
      <c r="F205" s="47">
        <v>44404</v>
      </c>
      <c r="G205" s="48" t="s">
        <v>89</v>
      </c>
      <c r="H205" s="48" t="s">
        <v>89</v>
      </c>
      <c r="I205" s="48" t="s">
        <v>89</v>
      </c>
      <c r="J205" s="48" t="s">
        <v>89</v>
      </c>
      <c r="K205" s="48" t="s">
        <v>89</v>
      </c>
      <c r="L205" s="48" t="s">
        <v>89</v>
      </c>
      <c r="M205" s="48" t="s">
        <v>89</v>
      </c>
      <c r="N205" s="48" t="s">
        <v>89</v>
      </c>
      <c r="O205" s="48" t="s">
        <v>89</v>
      </c>
      <c r="P205" s="48" t="s">
        <v>89</v>
      </c>
      <c r="Q205" s="48" t="s">
        <v>89</v>
      </c>
      <c r="R205" s="48" t="s">
        <v>89</v>
      </c>
      <c r="S205" s="48" t="s">
        <v>89</v>
      </c>
      <c r="T205" s="48" t="s">
        <v>89</v>
      </c>
      <c r="U205" s="46">
        <v>63</v>
      </c>
      <c r="V205" s="46">
        <f t="shared" si="106"/>
        <v>61</v>
      </c>
      <c r="W205" s="46">
        <v>59</v>
      </c>
      <c r="X205" s="46">
        <f t="shared" si="107"/>
        <v>58</v>
      </c>
      <c r="Y205" s="46">
        <v>1</v>
      </c>
      <c r="Z205" s="46">
        <f t="shared" si="108"/>
        <v>2</v>
      </c>
      <c r="AA205" s="46">
        <v>0</v>
      </c>
      <c r="AB205" s="46">
        <v>0</v>
      </c>
      <c r="AC205" s="46">
        <v>2</v>
      </c>
      <c r="AD205" s="46">
        <v>0</v>
      </c>
      <c r="AE205" s="46">
        <v>0</v>
      </c>
      <c r="AF205" s="46">
        <v>0</v>
      </c>
      <c r="AG205" s="46">
        <v>0</v>
      </c>
      <c r="AH205" s="46">
        <f t="shared" si="109"/>
        <v>2</v>
      </c>
      <c r="AI205" s="46">
        <v>1</v>
      </c>
      <c r="AJ205" s="46">
        <v>0</v>
      </c>
      <c r="AK205" s="46">
        <v>1</v>
      </c>
      <c r="AL205" s="46">
        <v>0</v>
      </c>
      <c r="AM205" s="49">
        <v>1</v>
      </c>
      <c r="AN205" s="47">
        <v>44460</v>
      </c>
      <c r="AO205" s="46"/>
      <c r="AP205" s="46"/>
      <c r="AQ205" s="50">
        <f t="shared" si="4"/>
        <v>56</v>
      </c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52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</row>
    <row r="206" spans="1:81" ht="15" customHeight="1" x14ac:dyDescent="0.25">
      <c r="A206" s="46" t="s">
        <v>294</v>
      </c>
      <c r="B206" s="46" t="s">
        <v>93</v>
      </c>
      <c r="C206" s="46" t="s">
        <v>89</v>
      </c>
      <c r="D206" s="46">
        <v>35</v>
      </c>
      <c r="E206" s="46">
        <v>36</v>
      </c>
      <c r="F206" s="47">
        <v>44404</v>
      </c>
      <c r="G206" s="48" t="s">
        <v>89</v>
      </c>
      <c r="H206" s="48" t="s">
        <v>89</v>
      </c>
      <c r="I206" s="48" t="s">
        <v>89</v>
      </c>
      <c r="J206" s="48" t="s">
        <v>89</v>
      </c>
      <c r="K206" s="48" t="s">
        <v>89</v>
      </c>
      <c r="L206" s="48" t="s">
        <v>89</v>
      </c>
      <c r="M206" s="48" t="s">
        <v>89</v>
      </c>
      <c r="N206" s="48" t="s">
        <v>89</v>
      </c>
      <c r="O206" s="48" t="s">
        <v>89</v>
      </c>
      <c r="P206" s="48" t="s">
        <v>89</v>
      </c>
      <c r="Q206" s="48" t="s">
        <v>89</v>
      </c>
      <c r="R206" s="48" t="s">
        <v>89</v>
      </c>
      <c r="S206" s="48" t="s">
        <v>89</v>
      </c>
      <c r="T206" s="48" t="s">
        <v>89</v>
      </c>
      <c r="U206" s="46">
        <v>103</v>
      </c>
      <c r="V206" s="46">
        <f t="shared" si="106"/>
        <v>98</v>
      </c>
      <c r="W206" s="46">
        <v>97</v>
      </c>
      <c r="X206" s="46">
        <f t="shared" si="107"/>
        <v>97</v>
      </c>
      <c r="Y206" s="46">
        <v>0</v>
      </c>
      <c r="Z206" s="46">
        <f t="shared" si="108"/>
        <v>1</v>
      </c>
      <c r="AA206" s="46">
        <v>0</v>
      </c>
      <c r="AB206" s="46">
        <v>0</v>
      </c>
      <c r="AC206" s="46">
        <v>1</v>
      </c>
      <c r="AD206" s="46">
        <v>0</v>
      </c>
      <c r="AE206" s="46">
        <v>0</v>
      </c>
      <c r="AF206" s="46">
        <v>0</v>
      </c>
      <c r="AG206" s="46">
        <v>0</v>
      </c>
      <c r="AH206" s="46">
        <f t="shared" si="109"/>
        <v>5</v>
      </c>
      <c r="AI206" s="46">
        <v>5</v>
      </c>
      <c r="AJ206" s="46">
        <v>0</v>
      </c>
      <c r="AK206" s="46">
        <v>0</v>
      </c>
      <c r="AL206" s="46">
        <v>0</v>
      </c>
      <c r="AM206" s="49">
        <v>1</v>
      </c>
      <c r="AN206" s="47">
        <v>44460</v>
      </c>
      <c r="AO206" s="46"/>
      <c r="AP206" s="46"/>
      <c r="AQ206" s="50">
        <f t="shared" si="4"/>
        <v>56</v>
      </c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52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</row>
    <row r="207" spans="1:81" ht="15" customHeight="1" x14ac:dyDescent="0.25">
      <c r="A207" s="46" t="s">
        <v>295</v>
      </c>
      <c r="B207" s="46" t="s">
        <v>88</v>
      </c>
      <c r="C207" s="46" t="s">
        <v>89</v>
      </c>
      <c r="D207" s="46">
        <v>145</v>
      </c>
      <c r="E207" s="46">
        <v>146</v>
      </c>
      <c r="F207" s="47">
        <v>44405</v>
      </c>
      <c r="G207" s="48" t="s">
        <v>89</v>
      </c>
      <c r="H207" s="48" t="s">
        <v>89</v>
      </c>
      <c r="I207" s="48" t="s">
        <v>89</v>
      </c>
      <c r="J207" s="48" t="s">
        <v>89</v>
      </c>
      <c r="K207" s="48" t="s">
        <v>89</v>
      </c>
      <c r="L207" s="48" t="s">
        <v>89</v>
      </c>
      <c r="M207" s="48" t="s">
        <v>89</v>
      </c>
      <c r="N207" s="48" t="s">
        <v>89</v>
      </c>
      <c r="O207" s="48" t="s">
        <v>89</v>
      </c>
      <c r="P207" s="48" t="s">
        <v>89</v>
      </c>
      <c r="Q207" s="48" t="s">
        <v>89</v>
      </c>
      <c r="R207" s="48" t="s">
        <v>89</v>
      </c>
      <c r="S207" s="48" t="s">
        <v>89</v>
      </c>
      <c r="T207" s="48" t="s">
        <v>89</v>
      </c>
      <c r="U207" s="46">
        <v>67</v>
      </c>
      <c r="V207" s="46">
        <f t="shared" si="106"/>
        <v>56</v>
      </c>
      <c r="W207" s="46">
        <v>53</v>
      </c>
      <c r="X207" s="46">
        <f t="shared" si="107"/>
        <v>53</v>
      </c>
      <c r="Y207" s="46">
        <v>0</v>
      </c>
      <c r="Z207" s="46">
        <f t="shared" si="108"/>
        <v>3</v>
      </c>
      <c r="AA207" s="46">
        <v>1</v>
      </c>
      <c r="AB207" s="46">
        <v>0</v>
      </c>
      <c r="AC207" s="46">
        <v>0</v>
      </c>
      <c r="AD207" s="46">
        <v>0</v>
      </c>
      <c r="AE207" s="46">
        <v>2</v>
      </c>
      <c r="AF207" s="46">
        <v>0</v>
      </c>
      <c r="AG207" s="46">
        <v>0</v>
      </c>
      <c r="AH207" s="46">
        <f t="shared" si="109"/>
        <v>11</v>
      </c>
      <c r="AI207" s="46">
        <v>11</v>
      </c>
      <c r="AJ207" s="46">
        <v>0</v>
      </c>
      <c r="AK207" s="46">
        <v>0</v>
      </c>
      <c r="AL207" s="46">
        <v>0</v>
      </c>
      <c r="AM207" s="49">
        <v>1</v>
      </c>
      <c r="AN207" s="47">
        <v>44464</v>
      </c>
      <c r="AO207" s="46"/>
      <c r="AP207" s="46"/>
      <c r="AQ207" s="50">
        <f t="shared" si="4"/>
        <v>59</v>
      </c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52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</row>
    <row r="208" spans="1:81" ht="15" customHeight="1" x14ac:dyDescent="0.25">
      <c r="A208" s="46" t="s">
        <v>296</v>
      </c>
      <c r="B208" s="46" t="s">
        <v>93</v>
      </c>
      <c r="C208" s="46" t="s">
        <v>89</v>
      </c>
      <c r="D208" s="46">
        <v>153</v>
      </c>
      <c r="E208" s="57">
        <v>154</v>
      </c>
      <c r="F208" s="54">
        <v>44405</v>
      </c>
      <c r="G208" s="48" t="s">
        <v>89</v>
      </c>
      <c r="H208" s="48" t="s">
        <v>89</v>
      </c>
      <c r="I208" s="48" t="s">
        <v>89</v>
      </c>
      <c r="J208" s="48" t="s">
        <v>89</v>
      </c>
      <c r="K208" s="48" t="s">
        <v>89</v>
      </c>
      <c r="L208" s="48" t="s">
        <v>89</v>
      </c>
      <c r="M208" s="48" t="s">
        <v>89</v>
      </c>
      <c r="N208" s="48" t="s">
        <v>89</v>
      </c>
      <c r="O208" s="48" t="s">
        <v>89</v>
      </c>
      <c r="P208" s="48" t="s">
        <v>89</v>
      </c>
      <c r="Q208" s="48" t="s">
        <v>89</v>
      </c>
      <c r="R208" s="48" t="s">
        <v>89</v>
      </c>
      <c r="S208" s="48" t="s">
        <v>89</v>
      </c>
      <c r="T208" s="48" t="s">
        <v>89</v>
      </c>
      <c r="U208" s="46">
        <v>54</v>
      </c>
      <c r="V208" s="46">
        <f t="shared" si="106"/>
        <v>50</v>
      </c>
      <c r="W208" s="46">
        <v>49</v>
      </c>
      <c r="X208" s="46">
        <f t="shared" si="107"/>
        <v>49</v>
      </c>
      <c r="Y208" s="46">
        <v>0</v>
      </c>
      <c r="Z208" s="46">
        <f t="shared" si="108"/>
        <v>1</v>
      </c>
      <c r="AA208" s="46">
        <v>0</v>
      </c>
      <c r="AB208" s="46">
        <v>0</v>
      </c>
      <c r="AC208" s="46">
        <v>1</v>
      </c>
      <c r="AD208" s="46">
        <v>0</v>
      </c>
      <c r="AE208" s="46">
        <v>0</v>
      </c>
      <c r="AF208" s="46">
        <v>0</v>
      </c>
      <c r="AG208" s="46">
        <v>0</v>
      </c>
      <c r="AH208" s="46">
        <f t="shared" si="109"/>
        <v>4</v>
      </c>
      <c r="AI208" s="46">
        <v>2</v>
      </c>
      <c r="AJ208" s="46">
        <v>2</v>
      </c>
      <c r="AK208" s="46">
        <v>0</v>
      </c>
      <c r="AL208" s="46">
        <v>0</v>
      </c>
      <c r="AM208" s="49">
        <v>1</v>
      </c>
      <c r="AN208" s="47">
        <v>44457</v>
      </c>
      <c r="AO208" s="46"/>
      <c r="AP208" s="46"/>
      <c r="AQ208" s="50">
        <f t="shared" si="4"/>
        <v>52</v>
      </c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52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</row>
    <row r="209" spans="1:81" ht="15" customHeight="1" x14ac:dyDescent="0.25">
      <c r="A209" s="46" t="s">
        <v>297</v>
      </c>
      <c r="B209" s="46" t="s">
        <v>93</v>
      </c>
      <c r="C209" s="46" t="s">
        <v>89</v>
      </c>
      <c r="D209" s="46">
        <v>6</v>
      </c>
      <c r="E209" s="46">
        <v>7</v>
      </c>
      <c r="F209" s="47">
        <v>44405</v>
      </c>
      <c r="G209" s="48" t="s">
        <v>89</v>
      </c>
      <c r="H209" s="48" t="s">
        <v>89</v>
      </c>
      <c r="I209" s="48" t="s">
        <v>89</v>
      </c>
      <c r="J209" s="48" t="s">
        <v>89</v>
      </c>
      <c r="K209" s="48" t="s">
        <v>89</v>
      </c>
      <c r="L209" s="48" t="s">
        <v>89</v>
      </c>
      <c r="M209" s="48" t="s">
        <v>89</v>
      </c>
      <c r="N209" s="48" t="s">
        <v>89</v>
      </c>
      <c r="O209" s="48" t="s">
        <v>89</v>
      </c>
      <c r="P209" s="48" t="s">
        <v>89</v>
      </c>
      <c r="Q209" s="48" t="s">
        <v>89</v>
      </c>
      <c r="R209" s="48" t="s">
        <v>89</v>
      </c>
      <c r="S209" s="48" t="s">
        <v>89</v>
      </c>
      <c r="T209" s="48" t="s">
        <v>89</v>
      </c>
      <c r="U209" s="46">
        <v>61</v>
      </c>
      <c r="V209" s="46">
        <f t="shared" si="106"/>
        <v>45</v>
      </c>
      <c r="W209" s="46">
        <v>23</v>
      </c>
      <c r="X209" s="46">
        <v>22</v>
      </c>
      <c r="Y209" s="46">
        <v>1</v>
      </c>
      <c r="Z209" s="46">
        <f t="shared" si="108"/>
        <v>22</v>
      </c>
      <c r="AA209" s="46">
        <v>3</v>
      </c>
      <c r="AB209" s="46">
        <v>0</v>
      </c>
      <c r="AC209" s="46">
        <v>16</v>
      </c>
      <c r="AD209" s="46">
        <v>3</v>
      </c>
      <c r="AE209" s="46">
        <v>0</v>
      </c>
      <c r="AF209" s="46">
        <v>0</v>
      </c>
      <c r="AG209" s="46">
        <v>0</v>
      </c>
      <c r="AH209" s="46">
        <f t="shared" si="109"/>
        <v>16</v>
      </c>
      <c r="AI209" s="46">
        <v>10</v>
      </c>
      <c r="AJ209" s="46">
        <v>6</v>
      </c>
      <c r="AK209" s="46">
        <v>0</v>
      </c>
      <c r="AL209" s="46">
        <v>0</v>
      </c>
      <c r="AM209" s="49">
        <v>1</v>
      </c>
      <c r="AN209" s="47">
        <v>44458</v>
      </c>
      <c r="AO209" s="46"/>
      <c r="AP209" s="46"/>
      <c r="AQ209" s="50">
        <f t="shared" si="4"/>
        <v>53</v>
      </c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52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</row>
    <row r="210" spans="1:81" ht="15" customHeight="1" x14ac:dyDescent="0.25">
      <c r="A210" s="46" t="s">
        <v>298</v>
      </c>
      <c r="B210" s="46" t="s">
        <v>88</v>
      </c>
      <c r="C210" s="46" t="s">
        <v>89</v>
      </c>
      <c r="D210" s="46">
        <v>10</v>
      </c>
      <c r="E210" s="46">
        <v>11</v>
      </c>
      <c r="F210" s="47">
        <v>44405</v>
      </c>
      <c r="G210" s="48" t="s">
        <v>89</v>
      </c>
      <c r="H210" s="48" t="s">
        <v>89</v>
      </c>
      <c r="I210" s="48" t="s">
        <v>89</v>
      </c>
      <c r="J210" s="48" t="s">
        <v>89</v>
      </c>
      <c r="K210" s="48" t="s">
        <v>89</v>
      </c>
      <c r="L210" s="48" t="s">
        <v>89</v>
      </c>
      <c r="M210" s="48" t="s">
        <v>89</v>
      </c>
      <c r="N210" s="48" t="s">
        <v>89</v>
      </c>
      <c r="O210" s="48" t="s">
        <v>89</v>
      </c>
      <c r="P210" s="48" t="s">
        <v>89</v>
      </c>
      <c r="Q210" s="48" t="s">
        <v>89</v>
      </c>
      <c r="R210" s="48" t="s">
        <v>89</v>
      </c>
      <c r="S210" s="48" t="s">
        <v>89</v>
      </c>
      <c r="T210" s="48" t="s">
        <v>89</v>
      </c>
      <c r="U210" s="48" t="s">
        <v>89</v>
      </c>
      <c r="V210" s="48" t="s">
        <v>89</v>
      </c>
      <c r="W210" s="48" t="s">
        <v>89</v>
      </c>
      <c r="X210" s="48" t="s">
        <v>89</v>
      </c>
      <c r="Y210" s="48" t="s">
        <v>89</v>
      </c>
      <c r="Z210" s="48" t="s">
        <v>89</v>
      </c>
      <c r="AA210" s="48" t="s">
        <v>89</v>
      </c>
      <c r="AB210" s="48" t="s">
        <v>89</v>
      </c>
      <c r="AC210" s="48" t="s">
        <v>89</v>
      </c>
      <c r="AD210" s="48" t="s">
        <v>89</v>
      </c>
      <c r="AE210" s="48" t="s">
        <v>89</v>
      </c>
      <c r="AF210" s="48" t="s">
        <v>89</v>
      </c>
      <c r="AG210" s="48" t="s">
        <v>89</v>
      </c>
      <c r="AH210" s="48" t="s">
        <v>89</v>
      </c>
      <c r="AI210" s="48" t="s">
        <v>89</v>
      </c>
      <c r="AJ210" s="48" t="s">
        <v>89</v>
      </c>
      <c r="AK210" s="48" t="s">
        <v>89</v>
      </c>
      <c r="AL210" s="48" t="s">
        <v>89</v>
      </c>
      <c r="AM210" s="49">
        <v>1</v>
      </c>
      <c r="AN210" s="46" t="s">
        <v>89</v>
      </c>
      <c r="AO210" s="47">
        <v>44452</v>
      </c>
      <c r="AP210" s="46"/>
      <c r="AQ210" s="50" t="str">
        <f t="shared" si="4"/>
        <v>N.A.</v>
      </c>
      <c r="AR210" s="47">
        <v>44455</v>
      </c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52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</row>
    <row r="211" spans="1:81" ht="15" customHeight="1" x14ac:dyDescent="0.25">
      <c r="A211" s="46" t="s">
        <v>299</v>
      </c>
      <c r="B211" s="46" t="s">
        <v>93</v>
      </c>
      <c r="C211" s="46" t="s">
        <v>89</v>
      </c>
      <c r="D211" s="46">
        <v>98</v>
      </c>
      <c r="E211" s="46">
        <v>99</v>
      </c>
      <c r="F211" s="47">
        <v>44405</v>
      </c>
      <c r="G211" s="48" t="s">
        <v>89</v>
      </c>
      <c r="H211" s="48" t="s">
        <v>89</v>
      </c>
      <c r="I211" s="48" t="s">
        <v>89</v>
      </c>
      <c r="J211" s="48" t="s">
        <v>89</v>
      </c>
      <c r="K211" s="48" t="s">
        <v>89</v>
      </c>
      <c r="L211" s="48" t="s">
        <v>89</v>
      </c>
      <c r="M211" s="48" t="s">
        <v>89</v>
      </c>
      <c r="N211" s="48" t="s">
        <v>89</v>
      </c>
      <c r="O211" s="48" t="s">
        <v>89</v>
      </c>
      <c r="P211" s="48" t="s">
        <v>89</v>
      </c>
      <c r="Q211" s="48" t="s">
        <v>89</v>
      </c>
      <c r="R211" s="48" t="s">
        <v>89</v>
      </c>
      <c r="S211" s="48" t="s">
        <v>89</v>
      </c>
      <c r="T211" s="48" t="s">
        <v>89</v>
      </c>
      <c r="U211" s="48" t="s">
        <v>89</v>
      </c>
      <c r="V211" s="48" t="s">
        <v>89</v>
      </c>
      <c r="W211" s="48" t="s">
        <v>89</v>
      </c>
      <c r="X211" s="48" t="s">
        <v>89</v>
      </c>
      <c r="Y211" s="48" t="s">
        <v>89</v>
      </c>
      <c r="Z211" s="48" t="s">
        <v>89</v>
      </c>
      <c r="AA211" s="48" t="s">
        <v>89</v>
      </c>
      <c r="AB211" s="48" t="s">
        <v>89</v>
      </c>
      <c r="AC211" s="48" t="s">
        <v>89</v>
      </c>
      <c r="AD211" s="48" t="s">
        <v>89</v>
      </c>
      <c r="AE211" s="48" t="s">
        <v>89</v>
      </c>
      <c r="AF211" s="48" t="s">
        <v>89</v>
      </c>
      <c r="AG211" s="48" t="s">
        <v>89</v>
      </c>
      <c r="AH211" s="48" t="s">
        <v>89</v>
      </c>
      <c r="AI211" s="48" t="s">
        <v>89</v>
      </c>
      <c r="AJ211" s="48" t="s">
        <v>89</v>
      </c>
      <c r="AK211" s="48" t="s">
        <v>89</v>
      </c>
      <c r="AL211" s="48" t="s">
        <v>89</v>
      </c>
      <c r="AM211" s="49">
        <v>1</v>
      </c>
      <c r="AN211" s="46" t="s">
        <v>89</v>
      </c>
      <c r="AO211" s="46"/>
      <c r="AP211" s="46"/>
      <c r="AQ211" s="50" t="str">
        <f t="shared" si="4"/>
        <v>N.A.</v>
      </c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52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</row>
    <row r="212" spans="1:81" ht="15" customHeight="1" x14ac:dyDescent="0.25">
      <c r="A212" s="46" t="s">
        <v>300</v>
      </c>
      <c r="B212" s="46" t="s">
        <v>93</v>
      </c>
      <c r="C212" s="46" t="s">
        <v>89</v>
      </c>
      <c r="D212" s="46">
        <v>155</v>
      </c>
      <c r="E212" s="46">
        <v>156</v>
      </c>
      <c r="F212" s="47">
        <v>44405</v>
      </c>
      <c r="G212" s="48" t="s">
        <v>89</v>
      </c>
      <c r="H212" s="48" t="s">
        <v>89</v>
      </c>
      <c r="I212" s="48" t="s">
        <v>89</v>
      </c>
      <c r="J212" s="48" t="s">
        <v>89</v>
      </c>
      <c r="K212" s="48" t="s">
        <v>89</v>
      </c>
      <c r="L212" s="48" t="s">
        <v>89</v>
      </c>
      <c r="M212" s="48" t="s">
        <v>89</v>
      </c>
      <c r="N212" s="48" t="s">
        <v>89</v>
      </c>
      <c r="O212" s="48" t="s">
        <v>89</v>
      </c>
      <c r="P212" s="48" t="s">
        <v>89</v>
      </c>
      <c r="Q212" s="48" t="s">
        <v>89</v>
      </c>
      <c r="R212" s="48" t="s">
        <v>89</v>
      </c>
      <c r="S212" s="48" t="s">
        <v>89</v>
      </c>
      <c r="T212" s="48" t="s">
        <v>89</v>
      </c>
      <c r="U212" s="48" t="s">
        <v>89</v>
      </c>
      <c r="V212" s="48" t="s">
        <v>89</v>
      </c>
      <c r="W212" s="48" t="s">
        <v>89</v>
      </c>
      <c r="X212" s="48" t="s">
        <v>89</v>
      </c>
      <c r="Y212" s="48" t="s">
        <v>89</v>
      </c>
      <c r="Z212" s="48" t="s">
        <v>89</v>
      </c>
      <c r="AA212" s="48" t="s">
        <v>89</v>
      </c>
      <c r="AB212" s="48" t="s">
        <v>89</v>
      </c>
      <c r="AC212" s="48" t="s">
        <v>89</v>
      </c>
      <c r="AD212" s="48" t="s">
        <v>89</v>
      </c>
      <c r="AE212" s="48" t="s">
        <v>89</v>
      </c>
      <c r="AF212" s="48" t="s">
        <v>89</v>
      </c>
      <c r="AG212" s="48" t="s">
        <v>89</v>
      </c>
      <c r="AH212" s="48" t="s">
        <v>89</v>
      </c>
      <c r="AI212" s="48" t="s">
        <v>89</v>
      </c>
      <c r="AJ212" s="48" t="s">
        <v>89</v>
      </c>
      <c r="AK212" s="48" t="s">
        <v>89</v>
      </c>
      <c r="AL212" s="48" t="s">
        <v>89</v>
      </c>
      <c r="AM212" s="46">
        <v>0</v>
      </c>
      <c r="AN212" s="46" t="s">
        <v>89</v>
      </c>
      <c r="AO212" s="46"/>
      <c r="AP212" s="46"/>
      <c r="AQ212" s="50" t="str">
        <f t="shared" si="4"/>
        <v>N.A.</v>
      </c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52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</row>
    <row r="213" spans="1:81" ht="15" customHeight="1" x14ac:dyDescent="0.25">
      <c r="A213" s="46" t="s">
        <v>301</v>
      </c>
      <c r="B213" s="46" t="s">
        <v>93</v>
      </c>
      <c r="C213" s="46" t="s">
        <v>89</v>
      </c>
      <c r="D213" s="46">
        <v>28</v>
      </c>
      <c r="E213" s="46">
        <v>29</v>
      </c>
      <c r="F213" s="47">
        <v>44406</v>
      </c>
      <c r="G213" s="48" t="s">
        <v>89</v>
      </c>
      <c r="H213" s="48" t="s">
        <v>89</v>
      </c>
      <c r="I213" s="48" t="s">
        <v>89</v>
      </c>
      <c r="J213" s="48" t="s">
        <v>89</v>
      </c>
      <c r="K213" s="48" t="s">
        <v>89</v>
      </c>
      <c r="L213" s="48" t="s">
        <v>89</v>
      </c>
      <c r="M213" s="48" t="s">
        <v>89</v>
      </c>
      <c r="N213" s="48" t="s">
        <v>89</v>
      </c>
      <c r="O213" s="48" t="s">
        <v>89</v>
      </c>
      <c r="P213" s="48" t="s">
        <v>89</v>
      </c>
      <c r="Q213" s="48" t="s">
        <v>89</v>
      </c>
      <c r="R213" s="48" t="s">
        <v>89</v>
      </c>
      <c r="S213" s="48" t="s">
        <v>89</v>
      </c>
      <c r="T213" s="48" t="s">
        <v>89</v>
      </c>
      <c r="U213" s="46">
        <v>98</v>
      </c>
      <c r="V213" s="46">
        <f>W213+Z213</f>
        <v>96</v>
      </c>
      <c r="W213" s="46">
        <v>95</v>
      </c>
      <c r="X213" s="46">
        <f>W213-Y213</f>
        <v>59</v>
      </c>
      <c r="Y213" s="46">
        <v>36</v>
      </c>
      <c r="Z213" s="46">
        <f>SUM(AA213:AG213)</f>
        <v>1</v>
      </c>
      <c r="AA213" s="46">
        <v>1</v>
      </c>
      <c r="AB213" s="46">
        <v>0</v>
      </c>
      <c r="AC213" s="46">
        <v>0</v>
      </c>
      <c r="AD213" s="46">
        <v>0</v>
      </c>
      <c r="AE213" s="46">
        <v>0</v>
      </c>
      <c r="AF213" s="46">
        <v>0</v>
      </c>
      <c r="AG213" s="46">
        <v>0</v>
      </c>
      <c r="AH213" s="46">
        <f>SUM(AI213:AL213)</f>
        <v>2</v>
      </c>
      <c r="AI213" s="46">
        <v>2</v>
      </c>
      <c r="AJ213" s="46">
        <v>0</v>
      </c>
      <c r="AK213" s="46">
        <v>0</v>
      </c>
      <c r="AL213" s="46">
        <v>0</v>
      </c>
      <c r="AM213" s="49">
        <v>1</v>
      </c>
      <c r="AN213" s="46" t="s">
        <v>89</v>
      </c>
      <c r="AO213" s="46"/>
      <c r="AP213" s="46"/>
      <c r="AQ213" s="50" t="str">
        <f t="shared" si="4"/>
        <v>N.A.</v>
      </c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52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</row>
    <row r="214" spans="1:81" ht="15" customHeight="1" x14ac:dyDescent="0.25">
      <c r="A214" s="46" t="s">
        <v>302</v>
      </c>
      <c r="B214" s="46" t="s">
        <v>93</v>
      </c>
      <c r="C214" s="46" t="s">
        <v>89</v>
      </c>
      <c r="D214" s="46">
        <v>37</v>
      </c>
      <c r="E214" s="46">
        <v>38</v>
      </c>
      <c r="F214" s="47">
        <v>44406</v>
      </c>
      <c r="G214" s="48" t="s">
        <v>89</v>
      </c>
      <c r="H214" s="48" t="s">
        <v>89</v>
      </c>
      <c r="I214" s="48" t="s">
        <v>89</v>
      </c>
      <c r="J214" s="48" t="s">
        <v>89</v>
      </c>
      <c r="K214" s="48" t="s">
        <v>89</v>
      </c>
      <c r="L214" s="48" t="s">
        <v>89</v>
      </c>
      <c r="M214" s="48" t="s">
        <v>89</v>
      </c>
      <c r="N214" s="48" t="s">
        <v>89</v>
      </c>
      <c r="O214" s="48" t="s">
        <v>89</v>
      </c>
      <c r="P214" s="48" t="s">
        <v>89</v>
      </c>
      <c r="Q214" s="48" t="s">
        <v>89</v>
      </c>
      <c r="R214" s="48" t="s">
        <v>89</v>
      </c>
      <c r="S214" s="48" t="s">
        <v>89</v>
      </c>
      <c r="T214" s="48" t="s">
        <v>89</v>
      </c>
      <c r="U214" s="48" t="s">
        <v>89</v>
      </c>
      <c r="V214" s="48" t="s">
        <v>89</v>
      </c>
      <c r="W214" s="48" t="s">
        <v>89</v>
      </c>
      <c r="X214" s="48" t="s">
        <v>89</v>
      </c>
      <c r="Y214" s="48" t="s">
        <v>89</v>
      </c>
      <c r="Z214" s="48" t="s">
        <v>89</v>
      </c>
      <c r="AA214" s="48" t="s">
        <v>89</v>
      </c>
      <c r="AB214" s="48" t="s">
        <v>89</v>
      </c>
      <c r="AC214" s="48" t="s">
        <v>89</v>
      </c>
      <c r="AD214" s="48" t="s">
        <v>89</v>
      </c>
      <c r="AE214" s="48" t="s">
        <v>89</v>
      </c>
      <c r="AF214" s="48" t="s">
        <v>89</v>
      </c>
      <c r="AG214" s="48" t="s">
        <v>89</v>
      </c>
      <c r="AH214" s="48" t="s">
        <v>89</v>
      </c>
      <c r="AI214" s="48" t="s">
        <v>89</v>
      </c>
      <c r="AJ214" s="48" t="s">
        <v>89</v>
      </c>
      <c r="AK214" s="48" t="s">
        <v>89</v>
      </c>
      <c r="AL214" s="48" t="s">
        <v>89</v>
      </c>
      <c r="AM214" s="46">
        <v>0</v>
      </c>
      <c r="AN214" s="46" t="s">
        <v>89</v>
      </c>
      <c r="AO214" s="46"/>
      <c r="AP214" s="46"/>
      <c r="AQ214" s="50" t="str">
        <f t="shared" si="4"/>
        <v>N.A.</v>
      </c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52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</row>
    <row r="215" spans="1:81" ht="15" customHeight="1" x14ac:dyDescent="0.25">
      <c r="A215" s="46" t="s">
        <v>303</v>
      </c>
      <c r="B215" s="46" t="s">
        <v>93</v>
      </c>
      <c r="C215" s="46" t="s">
        <v>89</v>
      </c>
      <c r="D215" s="46">
        <v>37</v>
      </c>
      <c r="E215" s="46">
        <v>38</v>
      </c>
      <c r="F215" s="47">
        <v>44407</v>
      </c>
      <c r="G215" s="48" t="s">
        <v>89</v>
      </c>
      <c r="H215" s="48" t="s">
        <v>89</v>
      </c>
      <c r="I215" s="48" t="s">
        <v>89</v>
      </c>
      <c r="J215" s="48" t="s">
        <v>89</v>
      </c>
      <c r="K215" s="48" t="s">
        <v>89</v>
      </c>
      <c r="L215" s="48" t="s">
        <v>89</v>
      </c>
      <c r="M215" s="48" t="s">
        <v>89</v>
      </c>
      <c r="N215" s="48" t="s">
        <v>89</v>
      </c>
      <c r="O215" s="48" t="s">
        <v>89</v>
      </c>
      <c r="P215" s="48" t="s">
        <v>89</v>
      </c>
      <c r="Q215" s="48" t="s">
        <v>89</v>
      </c>
      <c r="R215" s="48" t="s">
        <v>89</v>
      </c>
      <c r="S215" s="48" t="s">
        <v>89</v>
      </c>
      <c r="T215" s="48" t="s">
        <v>89</v>
      </c>
      <c r="U215" s="48" t="s">
        <v>89</v>
      </c>
      <c r="V215" s="48" t="s">
        <v>89</v>
      </c>
      <c r="W215" s="48" t="s">
        <v>89</v>
      </c>
      <c r="X215" s="48" t="s">
        <v>89</v>
      </c>
      <c r="Y215" s="48" t="s">
        <v>89</v>
      </c>
      <c r="Z215" s="48" t="s">
        <v>89</v>
      </c>
      <c r="AA215" s="48" t="s">
        <v>89</v>
      </c>
      <c r="AB215" s="48" t="s">
        <v>89</v>
      </c>
      <c r="AC215" s="48" t="s">
        <v>89</v>
      </c>
      <c r="AD215" s="48" t="s">
        <v>89</v>
      </c>
      <c r="AE215" s="48" t="s">
        <v>89</v>
      </c>
      <c r="AF215" s="48" t="s">
        <v>89</v>
      </c>
      <c r="AG215" s="48" t="s">
        <v>89</v>
      </c>
      <c r="AH215" s="48" t="s">
        <v>89</v>
      </c>
      <c r="AI215" s="48" t="s">
        <v>89</v>
      </c>
      <c r="AJ215" s="48" t="s">
        <v>89</v>
      </c>
      <c r="AK215" s="48" t="s">
        <v>89</v>
      </c>
      <c r="AL215" s="48" t="s">
        <v>89</v>
      </c>
      <c r="AM215" s="46">
        <v>0</v>
      </c>
      <c r="AN215" s="46" t="s">
        <v>89</v>
      </c>
      <c r="AO215" s="46"/>
      <c r="AP215" s="46"/>
      <c r="AQ215" s="50" t="str">
        <f t="shared" si="4"/>
        <v>N.A.</v>
      </c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52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</row>
    <row r="216" spans="1:81" ht="15" customHeight="1" x14ac:dyDescent="0.25">
      <c r="A216" s="46" t="s">
        <v>304</v>
      </c>
      <c r="B216" s="46" t="s">
        <v>93</v>
      </c>
      <c r="C216" s="46" t="s">
        <v>89</v>
      </c>
      <c r="D216" s="46">
        <v>37</v>
      </c>
      <c r="E216" s="46">
        <v>38</v>
      </c>
      <c r="F216" s="47">
        <v>44408</v>
      </c>
      <c r="G216" s="48" t="s">
        <v>89</v>
      </c>
      <c r="H216" s="48" t="s">
        <v>89</v>
      </c>
      <c r="I216" s="48" t="s">
        <v>89</v>
      </c>
      <c r="J216" s="48" t="s">
        <v>89</v>
      </c>
      <c r="K216" s="48" t="s">
        <v>89</v>
      </c>
      <c r="L216" s="48" t="s">
        <v>89</v>
      </c>
      <c r="M216" s="48" t="s">
        <v>89</v>
      </c>
      <c r="N216" s="48" t="s">
        <v>89</v>
      </c>
      <c r="O216" s="48" t="s">
        <v>89</v>
      </c>
      <c r="P216" s="48" t="s">
        <v>89</v>
      </c>
      <c r="Q216" s="48" t="s">
        <v>89</v>
      </c>
      <c r="R216" s="48" t="s">
        <v>89</v>
      </c>
      <c r="S216" s="48" t="s">
        <v>89</v>
      </c>
      <c r="T216" s="48" t="s">
        <v>89</v>
      </c>
      <c r="U216" s="46">
        <v>77</v>
      </c>
      <c r="V216" s="46">
        <f t="shared" ref="V216:V218" si="110">W216+Z216</f>
        <v>74</v>
      </c>
      <c r="W216" s="46">
        <v>73</v>
      </c>
      <c r="X216" s="46">
        <f t="shared" ref="X216:X218" si="111">W216-Y216</f>
        <v>73</v>
      </c>
      <c r="Y216" s="46">
        <v>0</v>
      </c>
      <c r="Z216" s="46">
        <f t="shared" ref="Z216:Z218" si="112">SUM(AA216:AG216)</f>
        <v>1</v>
      </c>
      <c r="AA216" s="46">
        <v>0</v>
      </c>
      <c r="AB216" s="46">
        <v>0</v>
      </c>
      <c r="AC216" s="46">
        <v>1</v>
      </c>
      <c r="AD216" s="46">
        <v>0</v>
      </c>
      <c r="AE216" s="46">
        <v>0</v>
      </c>
      <c r="AF216" s="46">
        <v>0</v>
      </c>
      <c r="AG216" s="46">
        <v>0</v>
      </c>
      <c r="AH216" s="46">
        <f t="shared" ref="AH216:AH218" si="113">SUM(AI216:AL216)</f>
        <v>3</v>
      </c>
      <c r="AI216" s="46">
        <v>3</v>
      </c>
      <c r="AJ216" s="46">
        <v>0</v>
      </c>
      <c r="AK216" s="46">
        <v>0</v>
      </c>
      <c r="AL216" s="46">
        <v>0</v>
      </c>
      <c r="AM216" s="49">
        <v>1</v>
      </c>
      <c r="AN216" s="47">
        <v>44463</v>
      </c>
      <c r="AO216" s="46"/>
      <c r="AP216" s="46"/>
      <c r="AQ216" s="50">
        <f t="shared" si="4"/>
        <v>55</v>
      </c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52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</row>
    <row r="217" spans="1:81" ht="15" customHeight="1" x14ac:dyDescent="0.25">
      <c r="A217" s="46" t="s">
        <v>305</v>
      </c>
      <c r="B217" s="46" t="s">
        <v>93</v>
      </c>
      <c r="C217" s="46" t="s">
        <v>89</v>
      </c>
      <c r="D217" s="46">
        <v>104</v>
      </c>
      <c r="E217" s="46">
        <v>105</v>
      </c>
      <c r="F217" s="47">
        <v>44408</v>
      </c>
      <c r="G217" s="48" t="s">
        <v>89</v>
      </c>
      <c r="H217" s="48" t="s">
        <v>89</v>
      </c>
      <c r="I217" s="48" t="s">
        <v>89</v>
      </c>
      <c r="J217" s="48" t="s">
        <v>89</v>
      </c>
      <c r="K217" s="48" t="s">
        <v>89</v>
      </c>
      <c r="L217" s="48" t="s">
        <v>89</v>
      </c>
      <c r="M217" s="48" t="s">
        <v>89</v>
      </c>
      <c r="N217" s="48" t="s">
        <v>89</v>
      </c>
      <c r="O217" s="48" t="s">
        <v>89</v>
      </c>
      <c r="P217" s="48" t="s">
        <v>89</v>
      </c>
      <c r="Q217" s="48" t="s">
        <v>89</v>
      </c>
      <c r="R217" s="48" t="s">
        <v>89</v>
      </c>
      <c r="S217" s="48" t="s">
        <v>89</v>
      </c>
      <c r="T217" s="48" t="s">
        <v>89</v>
      </c>
      <c r="U217" s="46">
        <v>77</v>
      </c>
      <c r="V217" s="46">
        <f t="shared" si="110"/>
        <v>75</v>
      </c>
      <c r="W217" s="46">
        <v>71</v>
      </c>
      <c r="X217" s="46">
        <f t="shared" si="111"/>
        <v>70</v>
      </c>
      <c r="Y217" s="46">
        <v>1</v>
      </c>
      <c r="Z217" s="46">
        <f t="shared" si="112"/>
        <v>4</v>
      </c>
      <c r="AA217" s="46">
        <v>4</v>
      </c>
      <c r="AB217" s="46">
        <v>0</v>
      </c>
      <c r="AC217" s="46">
        <v>0</v>
      </c>
      <c r="AD217" s="46">
        <v>0</v>
      </c>
      <c r="AE217" s="46">
        <v>0</v>
      </c>
      <c r="AF217" s="46">
        <v>0</v>
      </c>
      <c r="AG217" s="46">
        <v>0</v>
      </c>
      <c r="AH217" s="46">
        <f t="shared" si="113"/>
        <v>2</v>
      </c>
      <c r="AI217" s="46">
        <v>2</v>
      </c>
      <c r="AJ217" s="46">
        <v>0</v>
      </c>
      <c r="AK217" s="46">
        <v>0</v>
      </c>
      <c r="AL217" s="46">
        <v>0</v>
      </c>
      <c r="AM217" s="49">
        <v>1</v>
      </c>
      <c r="AN217" s="46" t="s">
        <v>89</v>
      </c>
      <c r="AO217" s="46"/>
      <c r="AP217" s="46"/>
      <c r="AQ217" s="50" t="str">
        <f t="shared" si="4"/>
        <v>N.A.</v>
      </c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52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</row>
    <row r="218" spans="1:81" ht="15" customHeight="1" x14ac:dyDescent="0.25">
      <c r="A218" s="46" t="s">
        <v>306</v>
      </c>
      <c r="B218" s="46" t="s">
        <v>93</v>
      </c>
      <c r="C218" s="46" t="s">
        <v>89</v>
      </c>
      <c r="D218" s="46">
        <v>117</v>
      </c>
      <c r="E218" s="46">
        <v>118</v>
      </c>
      <c r="F218" s="47">
        <v>44408</v>
      </c>
      <c r="G218" s="48" t="s">
        <v>89</v>
      </c>
      <c r="H218" s="48" t="s">
        <v>89</v>
      </c>
      <c r="I218" s="48" t="s">
        <v>89</v>
      </c>
      <c r="J218" s="48" t="s">
        <v>89</v>
      </c>
      <c r="K218" s="48" t="s">
        <v>89</v>
      </c>
      <c r="L218" s="48" t="s">
        <v>89</v>
      </c>
      <c r="M218" s="48" t="s">
        <v>89</v>
      </c>
      <c r="N218" s="48" t="s">
        <v>89</v>
      </c>
      <c r="O218" s="48" t="s">
        <v>89</v>
      </c>
      <c r="P218" s="48" t="s">
        <v>89</v>
      </c>
      <c r="Q218" s="48" t="s">
        <v>89</v>
      </c>
      <c r="R218" s="48" t="s">
        <v>89</v>
      </c>
      <c r="S218" s="48" t="s">
        <v>89</v>
      </c>
      <c r="T218" s="48" t="s">
        <v>89</v>
      </c>
      <c r="U218" s="46">
        <v>74</v>
      </c>
      <c r="V218" s="46">
        <f t="shared" si="110"/>
        <v>72</v>
      </c>
      <c r="W218" s="46">
        <v>71</v>
      </c>
      <c r="X218" s="46">
        <f t="shared" si="111"/>
        <v>71</v>
      </c>
      <c r="Y218" s="46">
        <v>0</v>
      </c>
      <c r="Z218" s="46">
        <f t="shared" si="112"/>
        <v>1</v>
      </c>
      <c r="AA218" s="46">
        <v>0</v>
      </c>
      <c r="AB218" s="46">
        <v>0</v>
      </c>
      <c r="AC218" s="46">
        <v>0</v>
      </c>
      <c r="AD218" s="46">
        <v>0</v>
      </c>
      <c r="AE218" s="46">
        <v>0</v>
      </c>
      <c r="AF218" s="46">
        <v>1</v>
      </c>
      <c r="AG218" s="46">
        <v>0</v>
      </c>
      <c r="AH218" s="46">
        <f t="shared" si="113"/>
        <v>2</v>
      </c>
      <c r="AI218" s="46">
        <v>2</v>
      </c>
      <c r="AJ218" s="46">
        <v>0</v>
      </c>
      <c r="AK218" s="46">
        <v>0</v>
      </c>
      <c r="AL218" s="46">
        <v>0</v>
      </c>
      <c r="AM218" s="49">
        <v>1</v>
      </c>
      <c r="AN218" s="47">
        <v>44460</v>
      </c>
      <c r="AO218" s="46"/>
      <c r="AP218" s="46"/>
      <c r="AQ218" s="50">
        <f t="shared" si="4"/>
        <v>52</v>
      </c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52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</row>
    <row r="219" spans="1:81" ht="15" customHeight="1" x14ac:dyDescent="0.25">
      <c r="A219" s="46" t="s">
        <v>307</v>
      </c>
      <c r="B219" s="46" t="s">
        <v>88</v>
      </c>
      <c r="C219" s="46" t="s">
        <v>89</v>
      </c>
      <c r="D219" s="46">
        <v>41</v>
      </c>
      <c r="E219" s="46">
        <v>42</v>
      </c>
      <c r="F219" s="47">
        <v>44408</v>
      </c>
      <c r="G219" s="48" t="s">
        <v>89</v>
      </c>
      <c r="H219" s="48" t="s">
        <v>89</v>
      </c>
      <c r="I219" s="48" t="s">
        <v>89</v>
      </c>
      <c r="J219" s="48" t="s">
        <v>89</v>
      </c>
      <c r="K219" s="48" t="s">
        <v>89</v>
      </c>
      <c r="L219" s="48" t="s">
        <v>89</v>
      </c>
      <c r="M219" s="48" t="s">
        <v>89</v>
      </c>
      <c r="N219" s="48" t="s">
        <v>89</v>
      </c>
      <c r="O219" s="48" t="s">
        <v>89</v>
      </c>
      <c r="P219" s="48" t="s">
        <v>89</v>
      </c>
      <c r="Q219" s="48" t="s">
        <v>89</v>
      </c>
      <c r="R219" s="48" t="s">
        <v>89</v>
      </c>
      <c r="S219" s="48" t="s">
        <v>89</v>
      </c>
      <c r="T219" s="48" t="s">
        <v>89</v>
      </c>
      <c r="U219" s="48" t="s">
        <v>89</v>
      </c>
      <c r="V219" s="48" t="s">
        <v>89</v>
      </c>
      <c r="W219" s="48" t="s">
        <v>89</v>
      </c>
      <c r="X219" s="48" t="s">
        <v>89</v>
      </c>
      <c r="Y219" s="48" t="s">
        <v>89</v>
      </c>
      <c r="Z219" s="48" t="s">
        <v>89</v>
      </c>
      <c r="AA219" s="48" t="s">
        <v>89</v>
      </c>
      <c r="AB219" s="48" t="s">
        <v>89</v>
      </c>
      <c r="AC219" s="48" t="s">
        <v>89</v>
      </c>
      <c r="AD219" s="48" t="s">
        <v>89</v>
      </c>
      <c r="AE219" s="48" t="s">
        <v>89</v>
      </c>
      <c r="AF219" s="48" t="s">
        <v>89</v>
      </c>
      <c r="AG219" s="48" t="s">
        <v>89</v>
      </c>
      <c r="AH219" s="48" t="s">
        <v>89</v>
      </c>
      <c r="AI219" s="48" t="s">
        <v>89</v>
      </c>
      <c r="AJ219" s="48" t="s">
        <v>89</v>
      </c>
      <c r="AK219" s="48" t="s">
        <v>89</v>
      </c>
      <c r="AL219" s="48" t="s">
        <v>89</v>
      </c>
      <c r="AM219" s="49">
        <v>1</v>
      </c>
      <c r="AN219" s="46" t="s">
        <v>89</v>
      </c>
      <c r="AO219" s="46"/>
      <c r="AP219" s="46"/>
      <c r="AQ219" s="50" t="str">
        <f t="shared" si="4"/>
        <v>N.A.</v>
      </c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52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</row>
    <row r="220" spans="1:81" ht="15" customHeight="1" x14ac:dyDescent="0.25">
      <c r="A220" s="46" t="s">
        <v>308</v>
      </c>
      <c r="B220" s="46" t="s">
        <v>93</v>
      </c>
      <c r="C220" s="46" t="s">
        <v>89</v>
      </c>
      <c r="D220" s="46">
        <v>38</v>
      </c>
      <c r="E220" s="46">
        <v>39</v>
      </c>
      <c r="F220" s="47">
        <v>44409</v>
      </c>
      <c r="G220" s="48" t="s">
        <v>89</v>
      </c>
      <c r="H220" s="48" t="s">
        <v>89</v>
      </c>
      <c r="I220" s="48" t="s">
        <v>89</v>
      </c>
      <c r="J220" s="48" t="s">
        <v>89</v>
      </c>
      <c r="K220" s="48" t="s">
        <v>89</v>
      </c>
      <c r="L220" s="48" t="s">
        <v>89</v>
      </c>
      <c r="M220" s="48" t="s">
        <v>89</v>
      </c>
      <c r="N220" s="48" t="s">
        <v>89</v>
      </c>
      <c r="O220" s="48" t="s">
        <v>89</v>
      </c>
      <c r="P220" s="48" t="s">
        <v>89</v>
      </c>
      <c r="Q220" s="48" t="s">
        <v>89</v>
      </c>
      <c r="R220" s="48" t="s">
        <v>89</v>
      </c>
      <c r="S220" s="48" t="s">
        <v>89</v>
      </c>
      <c r="T220" s="48" t="s">
        <v>89</v>
      </c>
      <c r="U220" s="46">
        <v>66</v>
      </c>
      <c r="V220" s="46">
        <f t="shared" ref="V220:V225" si="114">W220+Z220</f>
        <v>65</v>
      </c>
      <c r="W220" s="46">
        <v>65</v>
      </c>
      <c r="X220" s="46">
        <f t="shared" ref="X220:X225" si="115">W220-Y220</f>
        <v>65</v>
      </c>
      <c r="Y220" s="46">
        <v>0</v>
      </c>
      <c r="Z220" s="46">
        <f t="shared" ref="Z220:Z225" si="116">SUM(AA220:AG220)</f>
        <v>0</v>
      </c>
      <c r="AA220" s="46">
        <v>0</v>
      </c>
      <c r="AB220" s="46">
        <v>0</v>
      </c>
      <c r="AC220" s="46">
        <v>0</v>
      </c>
      <c r="AD220" s="46">
        <v>0</v>
      </c>
      <c r="AE220" s="46">
        <v>0</v>
      </c>
      <c r="AF220" s="46">
        <v>0</v>
      </c>
      <c r="AG220" s="46">
        <v>0</v>
      </c>
      <c r="AH220" s="46">
        <f t="shared" ref="AH220:AH225" si="117">SUM(AI220:AL220)</f>
        <v>1</v>
      </c>
      <c r="AI220" s="46">
        <v>1</v>
      </c>
      <c r="AJ220" s="46">
        <v>0</v>
      </c>
      <c r="AK220" s="46">
        <v>0</v>
      </c>
      <c r="AL220" s="46">
        <v>0</v>
      </c>
      <c r="AM220" s="49">
        <v>1</v>
      </c>
      <c r="AN220" s="47">
        <v>44465</v>
      </c>
      <c r="AO220" s="46"/>
      <c r="AP220" s="46"/>
      <c r="AQ220" s="50">
        <f t="shared" si="4"/>
        <v>56</v>
      </c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52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</row>
    <row r="221" spans="1:81" ht="15" customHeight="1" x14ac:dyDescent="0.25">
      <c r="A221" s="46" t="s">
        <v>309</v>
      </c>
      <c r="B221" s="46" t="s">
        <v>93</v>
      </c>
      <c r="C221" s="46" t="s">
        <v>89</v>
      </c>
      <c r="D221" s="46">
        <v>134</v>
      </c>
      <c r="E221" s="46">
        <v>135</v>
      </c>
      <c r="F221" s="47">
        <v>44409</v>
      </c>
      <c r="G221" s="48" t="s">
        <v>89</v>
      </c>
      <c r="H221" s="48" t="s">
        <v>89</v>
      </c>
      <c r="I221" s="48" t="s">
        <v>89</v>
      </c>
      <c r="J221" s="48" t="s">
        <v>89</v>
      </c>
      <c r="K221" s="48" t="s">
        <v>89</v>
      </c>
      <c r="L221" s="48" t="s">
        <v>89</v>
      </c>
      <c r="M221" s="48" t="s">
        <v>89</v>
      </c>
      <c r="N221" s="48" t="s">
        <v>89</v>
      </c>
      <c r="O221" s="48" t="s">
        <v>89</v>
      </c>
      <c r="P221" s="48" t="s">
        <v>89</v>
      </c>
      <c r="Q221" s="48" t="s">
        <v>89</v>
      </c>
      <c r="R221" s="48" t="s">
        <v>89</v>
      </c>
      <c r="S221" s="48" t="s">
        <v>89</v>
      </c>
      <c r="T221" s="48" t="s">
        <v>89</v>
      </c>
      <c r="U221" s="46">
        <v>59</v>
      </c>
      <c r="V221" s="46">
        <f t="shared" si="114"/>
        <v>59</v>
      </c>
      <c r="W221" s="46">
        <v>52</v>
      </c>
      <c r="X221" s="46">
        <f t="shared" si="115"/>
        <v>52</v>
      </c>
      <c r="Y221" s="46">
        <v>0</v>
      </c>
      <c r="Z221" s="46">
        <f t="shared" si="116"/>
        <v>7</v>
      </c>
      <c r="AA221" s="46">
        <v>0</v>
      </c>
      <c r="AB221" s="46">
        <v>1</v>
      </c>
      <c r="AC221" s="46">
        <v>6</v>
      </c>
      <c r="AD221" s="46">
        <v>0</v>
      </c>
      <c r="AE221" s="46">
        <v>0</v>
      </c>
      <c r="AF221" s="46">
        <v>0</v>
      </c>
      <c r="AG221" s="46">
        <v>0</v>
      </c>
      <c r="AH221" s="46">
        <f t="shared" si="117"/>
        <v>0</v>
      </c>
      <c r="AI221" s="46">
        <v>0</v>
      </c>
      <c r="AJ221" s="46">
        <v>0</v>
      </c>
      <c r="AK221" s="46">
        <v>0</v>
      </c>
      <c r="AL221" s="46">
        <v>0</v>
      </c>
      <c r="AM221" s="49">
        <v>1</v>
      </c>
      <c r="AN221" s="47">
        <v>44464</v>
      </c>
      <c r="AO221" s="46"/>
      <c r="AP221" s="46"/>
      <c r="AQ221" s="50">
        <f t="shared" si="4"/>
        <v>55</v>
      </c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52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</row>
    <row r="222" spans="1:81" ht="15" customHeight="1" x14ac:dyDescent="0.25">
      <c r="A222" s="46" t="s">
        <v>310</v>
      </c>
      <c r="B222" s="46" t="s">
        <v>88</v>
      </c>
      <c r="C222" s="46" t="s">
        <v>89</v>
      </c>
      <c r="D222" s="46">
        <v>28</v>
      </c>
      <c r="E222" s="46">
        <v>29</v>
      </c>
      <c r="F222" s="47">
        <v>44410</v>
      </c>
      <c r="G222" s="48" t="s">
        <v>89</v>
      </c>
      <c r="H222" s="48" t="s">
        <v>89</v>
      </c>
      <c r="I222" s="48" t="s">
        <v>89</v>
      </c>
      <c r="J222" s="48" t="s">
        <v>89</v>
      </c>
      <c r="K222" s="48" t="s">
        <v>89</v>
      </c>
      <c r="L222" s="48" t="s">
        <v>89</v>
      </c>
      <c r="M222" s="48" t="s">
        <v>89</v>
      </c>
      <c r="N222" s="48" t="s">
        <v>89</v>
      </c>
      <c r="O222" s="48" t="s">
        <v>89</v>
      </c>
      <c r="P222" s="48" t="s">
        <v>89</v>
      </c>
      <c r="Q222" s="48" t="s">
        <v>89</v>
      </c>
      <c r="R222" s="48" t="s">
        <v>89</v>
      </c>
      <c r="S222" s="48" t="s">
        <v>89</v>
      </c>
      <c r="T222" s="48" t="s">
        <v>89</v>
      </c>
      <c r="U222" s="46">
        <v>98</v>
      </c>
      <c r="V222" s="46">
        <f t="shared" si="114"/>
        <v>96</v>
      </c>
      <c r="W222" s="46">
        <v>96</v>
      </c>
      <c r="X222" s="46">
        <f t="shared" si="115"/>
        <v>96</v>
      </c>
      <c r="Y222" s="46">
        <v>0</v>
      </c>
      <c r="Z222" s="46">
        <f t="shared" si="116"/>
        <v>0</v>
      </c>
      <c r="AA222" s="46">
        <v>0</v>
      </c>
      <c r="AB222" s="46">
        <v>0</v>
      </c>
      <c r="AC222" s="46">
        <v>0</v>
      </c>
      <c r="AD222" s="46">
        <v>0</v>
      </c>
      <c r="AE222" s="46">
        <v>0</v>
      </c>
      <c r="AF222" s="46">
        <v>0</v>
      </c>
      <c r="AG222" s="46">
        <v>0</v>
      </c>
      <c r="AH222" s="46">
        <f t="shared" si="117"/>
        <v>2</v>
      </c>
      <c r="AI222" s="46">
        <v>0</v>
      </c>
      <c r="AJ222" s="46">
        <v>2</v>
      </c>
      <c r="AK222" s="46">
        <v>0</v>
      </c>
      <c r="AL222" s="46">
        <v>0</v>
      </c>
      <c r="AM222" s="49">
        <v>1</v>
      </c>
      <c r="AN222" s="47">
        <v>44466</v>
      </c>
      <c r="AO222" s="46"/>
      <c r="AP222" s="46"/>
      <c r="AQ222" s="50">
        <f t="shared" si="4"/>
        <v>56</v>
      </c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52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</row>
    <row r="223" spans="1:81" ht="15" customHeight="1" x14ac:dyDescent="0.25">
      <c r="A223" s="46" t="s">
        <v>311</v>
      </c>
      <c r="B223" s="46" t="s">
        <v>88</v>
      </c>
      <c r="C223" s="46" t="s">
        <v>89</v>
      </c>
      <c r="D223" s="46">
        <v>27</v>
      </c>
      <c r="E223" s="46">
        <v>28</v>
      </c>
      <c r="F223" s="47">
        <v>44410</v>
      </c>
      <c r="G223" s="48" t="s">
        <v>89</v>
      </c>
      <c r="H223" s="48" t="s">
        <v>89</v>
      </c>
      <c r="I223" s="48" t="s">
        <v>89</v>
      </c>
      <c r="J223" s="48" t="s">
        <v>89</v>
      </c>
      <c r="K223" s="48" t="s">
        <v>89</v>
      </c>
      <c r="L223" s="48" t="s">
        <v>89</v>
      </c>
      <c r="M223" s="48" t="s">
        <v>89</v>
      </c>
      <c r="N223" s="48" t="s">
        <v>89</v>
      </c>
      <c r="O223" s="48" t="s">
        <v>89</v>
      </c>
      <c r="P223" s="48" t="s">
        <v>89</v>
      </c>
      <c r="Q223" s="48" t="s">
        <v>89</v>
      </c>
      <c r="R223" s="48" t="s">
        <v>89</v>
      </c>
      <c r="S223" s="48" t="s">
        <v>89</v>
      </c>
      <c r="T223" s="48" t="s">
        <v>89</v>
      </c>
      <c r="U223" s="46">
        <v>73</v>
      </c>
      <c r="V223" s="46">
        <f t="shared" si="114"/>
        <v>70</v>
      </c>
      <c r="W223" s="46">
        <v>66</v>
      </c>
      <c r="X223" s="46">
        <f t="shared" si="115"/>
        <v>56</v>
      </c>
      <c r="Y223" s="46">
        <v>10</v>
      </c>
      <c r="Z223" s="46">
        <f t="shared" si="116"/>
        <v>4</v>
      </c>
      <c r="AA223" s="46">
        <v>0</v>
      </c>
      <c r="AB223" s="46">
        <v>0</v>
      </c>
      <c r="AC223" s="46">
        <v>4</v>
      </c>
      <c r="AD223" s="46">
        <v>0</v>
      </c>
      <c r="AE223" s="46">
        <v>0</v>
      </c>
      <c r="AF223" s="46">
        <v>0</v>
      </c>
      <c r="AG223" s="46">
        <v>0</v>
      </c>
      <c r="AH223" s="46">
        <f t="shared" si="117"/>
        <v>3</v>
      </c>
      <c r="AI223" s="46">
        <v>3</v>
      </c>
      <c r="AJ223" s="46">
        <v>0</v>
      </c>
      <c r="AK223" s="46">
        <v>0</v>
      </c>
      <c r="AL223" s="46">
        <v>0</v>
      </c>
      <c r="AM223" s="49">
        <v>1</v>
      </c>
      <c r="AN223" s="47">
        <v>44474</v>
      </c>
      <c r="AO223" s="46"/>
      <c r="AP223" s="46"/>
      <c r="AQ223" s="50">
        <f t="shared" si="4"/>
        <v>64</v>
      </c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52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</row>
    <row r="224" spans="1:81" ht="15" customHeight="1" x14ac:dyDescent="0.25">
      <c r="A224" s="46" t="s">
        <v>312</v>
      </c>
      <c r="B224" s="46" t="s">
        <v>93</v>
      </c>
      <c r="C224" s="46" t="s">
        <v>89</v>
      </c>
      <c r="D224" s="46">
        <v>36</v>
      </c>
      <c r="E224" s="46">
        <v>37</v>
      </c>
      <c r="F224" s="47">
        <v>44410</v>
      </c>
      <c r="G224" s="48" t="s">
        <v>89</v>
      </c>
      <c r="H224" s="48" t="s">
        <v>89</v>
      </c>
      <c r="I224" s="48" t="s">
        <v>89</v>
      </c>
      <c r="J224" s="48" t="s">
        <v>89</v>
      </c>
      <c r="K224" s="48" t="s">
        <v>89</v>
      </c>
      <c r="L224" s="48" t="s">
        <v>89</v>
      </c>
      <c r="M224" s="48" t="s">
        <v>89</v>
      </c>
      <c r="N224" s="48" t="s">
        <v>89</v>
      </c>
      <c r="O224" s="48" t="s">
        <v>89</v>
      </c>
      <c r="P224" s="48" t="s">
        <v>89</v>
      </c>
      <c r="Q224" s="48" t="s">
        <v>89</v>
      </c>
      <c r="R224" s="48" t="s">
        <v>89</v>
      </c>
      <c r="S224" s="48" t="s">
        <v>89</v>
      </c>
      <c r="T224" s="48" t="s">
        <v>89</v>
      </c>
      <c r="U224" s="46">
        <v>101</v>
      </c>
      <c r="V224" s="46">
        <f t="shared" si="114"/>
        <v>98</v>
      </c>
      <c r="W224" s="46">
        <v>95</v>
      </c>
      <c r="X224" s="46">
        <f t="shared" si="115"/>
        <v>95</v>
      </c>
      <c r="Y224" s="46">
        <v>0</v>
      </c>
      <c r="Z224" s="46">
        <f t="shared" si="116"/>
        <v>3</v>
      </c>
      <c r="AA224" s="46">
        <v>1</v>
      </c>
      <c r="AB224" s="46">
        <v>0</v>
      </c>
      <c r="AC224" s="46">
        <v>2</v>
      </c>
      <c r="AD224" s="46">
        <v>0</v>
      </c>
      <c r="AE224" s="46">
        <v>0</v>
      </c>
      <c r="AF224" s="46">
        <v>0</v>
      </c>
      <c r="AG224" s="46">
        <v>0</v>
      </c>
      <c r="AH224" s="46">
        <f t="shared" si="117"/>
        <v>3</v>
      </c>
      <c r="AI224" s="46">
        <v>3</v>
      </c>
      <c r="AJ224" s="46">
        <v>0</v>
      </c>
      <c r="AK224" s="46">
        <v>0</v>
      </c>
      <c r="AL224" s="46">
        <v>0</v>
      </c>
      <c r="AM224" s="49">
        <v>1</v>
      </c>
      <c r="AN224" s="47">
        <v>44466</v>
      </c>
      <c r="AO224" s="46"/>
      <c r="AP224" s="46"/>
      <c r="AQ224" s="50">
        <f t="shared" si="4"/>
        <v>56</v>
      </c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52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</row>
    <row r="225" spans="1:81" ht="15" customHeight="1" x14ac:dyDescent="0.25">
      <c r="A225" s="46" t="s">
        <v>313</v>
      </c>
      <c r="B225" s="46" t="s">
        <v>93</v>
      </c>
      <c r="C225" s="46" t="s">
        <v>89</v>
      </c>
      <c r="D225" s="46">
        <v>113</v>
      </c>
      <c r="E225" s="46">
        <v>114</v>
      </c>
      <c r="F225" s="47">
        <v>44410</v>
      </c>
      <c r="G225" s="48" t="s">
        <v>89</v>
      </c>
      <c r="H225" s="48" t="s">
        <v>89</v>
      </c>
      <c r="I225" s="48" t="s">
        <v>89</v>
      </c>
      <c r="J225" s="48" t="s">
        <v>89</v>
      </c>
      <c r="K225" s="48" t="s">
        <v>89</v>
      </c>
      <c r="L225" s="48" t="s">
        <v>89</v>
      </c>
      <c r="M225" s="48" t="s">
        <v>89</v>
      </c>
      <c r="N225" s="48" t="s">
        <v>89</v>
      </c>
      <c r="O225" s="48" t="s">
        <v>89</v>
      </c>
      <c r="P225" s="48" t="s">
        <v>89</v>
      </c>
      <c r="Q225" s="48" t="s">
        <v>89</v>
      </c>
      <c r="R225" s="48" t="s">
        <v>89</v>
      </c>
      <c r="S225" s="48" t="s">
        <v>89</v>
      </c>
      <c r="T225" s="48" t="s">
        <v>89</v>
      </c>
      <c r="U225" s="46">
        <v>100</v>
      </c>
      <c r="V225" s="46">
        <f t="shared" si="114"/>
        <v>99</v>
      </c>
      <c r="W225" s="46">
        <v>99</v>
      </c>
      <c r="X225" s="46">
        <f t="shared" si="115"/>
        <v>99</v>
      </c>
      <c r="Y225" s="46">
        <v>0</v>
      </c>
      <c r="Z225" s="46">
        <f t="shared" si="116"/>
        <v>0</v>
      </c>
      <c r="AA225" s="46">
        <v>0</v>
      </c>
      <c r="AB225" s="46">
        <v>0</v>
      </c>
      <c r="AC225" s="46">
        <v>0</v>
      </c>
      <c r="AD225" s="46">
        <v>0</v>
      </c>
      <c r="AE225" s="46">
        <v>0</v>
      </c>
      <c r="AF225" s="46">
        <v>0</v>
      </c>
      <c r="AG225" s="46">
        <v>0</v>
      </c>
      <c r="AH225" s="46">
        <f t="shared" si="117"/>
        <v>1</v>
      </c>
      <c r="AI225" s="46">
        <v>1</v>
      </c>
      <c r="AJ225" s="46">
        <v>0</v>
      </c>
      <c r="AK225" s="46">
        <v>0</v>
      </c>
      <c r="AL225" s="46">
        <v>0</v>
      </c>
      <c r="AM225" s="49">
        <v>1</v>
      </c>
      <c r="AN225" s="47">
        <v>44467</v>
      </c>
      <c r="AO225" s="46"/>
      <c r="AP225" s="46"/>
      <c r="AQ225" s="50">
        <f t="shared" si="4"/>
        <v>57</v>
      </c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52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</row>
    <row r="226" spans="1:81" ht="15" customHeight="1" x14ac:dyDescent="0.25">
      <c r="A226" s="46" t="s">
        <v>314</v>
      </c>
      <c r="B226" s="46" t="s">
        <v>93</v>
      </c>
      <c r="C226" s="46" t="s">
        <v>89</v>
      </c>
      <c r="D226" s="46">
        <v>18</v>
      </c>
      <c r="E226" s="46">
        <v>19</v>
      </c>
      <c r="F226" s="47">
        <v>44410</v>
      </c>
      <c r="G226" s="48" t="s">
        <v>89</v>
      </c>
      <c r="H226" s="48" t="s">
        <v>89</v>
      </c>
      <c r="I226" s="48" t="s">
        <v>89</v>
      </c>
      <c r="J226" s="48" t="s">
        <v>89</v>
      </c>
      <c r="K226" s="48" t="s">
        <v>89</v>
      </c>
      <c r="L226" s="48" t="s">
        <v>89</v>
      </c>
      <c r="M226" s="48" t="s">
        <v>89</v>
      </c>
      <c r="N226" s="48" t="s">
        <v>89</v>
      </c>
      <c r="O226" s="48" t="s">
        <v>89</v>
      </c>
      <c r="P226" s="48" t="s">
        <v>89</v>
      </c>
      <c r="Q226" s="48" t="s">
        <v>89</v>
      </c>
      <c r="R226" s="48" t="s">
        <v>89</v>
      </c>
      <c r="S226" s="48" t="s">
        <v>89</v>
      </c>
      <c r="T226" s="48" t="s">
        <v>89</v>
      </c>
      <c r="U226" s="48" t="s">
        <v>89</v>
      </c>
      <c r="V226" s="48" t="s">
        <v>89</v>
      </c>
      <c r="W226" s="48" t="s">
        <v>89</v>
      </c>
      <c r="X226" s="48" t="s">
        <v>89</v>
      </c>
      <c r="Y226" s="48" t="s">
        <v>89</v>
      </c>
      <c r="Z226" s="48" t="s">
        <v>89</v>
      </c>
      <c r="AA226" s="48" t="s">
        <v>89</v>
      </c>
      <c r="AB226" s="48" t="s">
        <v>89</v>
      </c>
      <c r="AC226" s="48" t="s">
        <v>89</v>
      </c>
      <c r="AD226" s="48" t="s">
        <v>89</v>
      </c>
      <c r="AE226" s="48" t="s">
        <v>89</v>
      </c>
      <c r="AF226" s="48" t="s">
        <v>89</v>
      </c>
      <c r="AG226" s="48" t="s">
        <v>89</v>
      </c>
      <c r="AH226" s="48" t="s">
        <v>89</v>
      </c>
      <c r="AI226" s="48" t="s">
        <v>89</v>
      </c>
      <c r="AJ226" s="48" t="s">
        <v>89</v>
      </c>
      <c r="AK226" s="48" t="s">
        <v>89</v>
      </c>
      <c r="AL226" s="48" t="s">
        <v>89</v>
      </c>
      <c r="AM226" s="46">
        <v>0</v>
      </c>
      <c r="AN226" s="46" t="s">
        <v>89</v>
      </c>
      <c r="AO226" s="46"/>
      <c r="AP226" s="46"/>
      <c r="AQ226" s="50" t="str">
        <f t="shared" si="4"/>
        <v>N.A.</v>
      </c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52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</row>
    <row r="227" spans="1:81" ht="15" customHeight="1" x14ac:dyDescent="0.25">
      <c r="A227" s="46" t="s">
        <v>315</v>
      </c>
      <c r="B227" s="46" t="s">
        <v>93</v>
      </c>
      <c r="C227" s="46" t="s">
        <v>89</v>
      </c>
      <c r="D227" s="46">
        <v>53</v>
      </c>
      <c r="E227" s="46">
        <v>54</v>
      </c>
      <c r="F227" s="47">
        <v>44410</v>
      </c>
      <c r="G227" s="48" t="s">
        <v>89</v>
      </c>
      <c r="H227" s="48" t="s">
        <v>89</v>
      </c>
      <c r="I227" s="48" t="s">
        <v>89</v>
      </c>
      <c r="J227" s="48" t="s">
        <v>89</v>
      </c>
      <c r="K227" s="48" t="s">
        <v>89</v>
      </c>
      <c r="L227" s="48" t="s">
        <v>89</v>
      </c>
      <c r="M227" s="48" t="s">
        <v>89</v>
      </c>
      <c r="N227" s="48" t="s">
        <v>89</v>
      </c>
      <c r="O227" s="48" t="s">
        <v>89</v>
      </c>
      <c r="P227" s="48" t="s">
        <v>89</v>
      </c>
      <c r="Q227" s="48" t="s">
        <v>89</v>
      </c>
      <c r="R227" s="48" t="s">
        <v>89</v>
      </c>
      <c r="S227" s="48" t="s">
        <v>89</v>
      </c>
      <c r="T227" s="48" t="s">
        <v>89</v>
      </c>
      <c r="U227" s="48" t="s">
        <v>89</v>
      </c>
      <c r="V227" s="48" t="s">
        <v>89</v>
      </c>
      <c r="W227" s="48" t="s">
        <v>89</v>
      </c>
      <c r="X227" s="48" t="s">
        <v>89</v>
      </c>
      <c r="Y227" s="48" t="s">
        <v>89</v>
      </c>
      <c r="Z227" s="48" t="s">
        <v>89</v>
      </c>
      <c r="AA227" s="48" t="s">
        <v>89</v>
      </c>
      <c r="AB227" s="48" t="s">
        <v>89</v>
      </c>
      <c r="AC227" s="48" t="s">
        <v>89</v>
      </c>
      <c r="AD227" s="48" t="s">
        <v>89</v>
      </c>
      <c r="AE227" s="48" t="s">
        <v>89</v>
      </c>
      <c r="AF227" s="48" t="s">
        <v>89</v>
      </c>
      <c r="AG227" s="48" t="s">
        <v>89</v>
      </c>
      <c r="AH227" s="48" t="s">
        <v>89</v>
      </c>
      <c r="AI227" s="48" t="s">
        <v>89</v>
      </c>
      <c r="AJ227" s="48" t="s">
        <v>89</v>
      </c>
      <c r="AK227" s="48" t="s">
        <v>89</v>
      </c>
      <c r="AL227" s="48" t="s">
        <v>89</v>
      </c>
      <c r="AM227" s="46">
        <v>0</v>
      </c>
      <c r="AN227" s="46" t="s">
        <v>89</v>
      </c>
      <c r="AO227" s="46"/>
      <c r="AP227" s="46"/>
      <c r="AQ227" s="50" t="str">
        <f t="shared" si="4"/>
        <v>N.A.</v>
      </c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52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</row>
    <row r="228" spans="1:81" ht="15" customHeight="1" x14ac:dyDescent="0.25">
      <c r="A228" s="46" t="s">
        <v>316</v>
      </c>
      <c r="B228" s="46" t="s">
        <v>93</v>
      </c>
      <c r="C228" s="46" t="s">
        <v>89</v>
      </c>
      <c r="D228" s="46">
        <v>45</v>
      </c>
      <c r="E228" s="46">
        <v>46</v>
      </c>
      <c r="F228" s="47">
        <v>44411</v>
      </c>
      <c r="G228" s="48" t="s">
        <v>89</v>
      </c>
      <c r="H228" s="48" t="s">
        <v>89</v>
      </c>
      <c r="I228" s="48" t="s">
        <v>89</v>
      </c>
      <c r="J228" s="48" t="s">
        <v>89</v>
      </c>
      <c r="K228" s="48" t="s">
        <v>89</v>
      </c>
      <c r="L228" s="48" t="s">
        <v>89</v>
      </c>
      <c r="M228" s="48" t="s">
        <v>89</v>
      </c>
      <c r="N228" s="48" t="s">
        <v>89</v>
      </c>
      <c r="O228" s="48" t="s">
        <v>89</v>
      </c>
      <c r="P228" s="48" t="s">
        <v>89</v>
      </c>
      <c r="Q228" s="48" t="s">
        <v>89</v>
      </c>
      <c r="R228" s="48" t="s">
        <v>89</v>
      </c>
      <c r="S228" s="48" t="s">
        <v>89</v>
      </c>
      <c r="T228" s="48" t="s">
        <v>89</v>
      </c>
      <c r="U228" s="46">
        <v>93</v>
      </c>
      <c r="V228" s="46">
        <f t="shared" ref="V228:V230" si="118">W228+Z228</f>
        <v>92</v>
      </c>
      <c r="W228" s="46">
        <v>92</v>
      </c>
      <c r="X228" s="46">
        <f>W228-Y228</f>
        <v>92</v>
      </c>
      <c r="Y228" s="46">
        <v>0</v>
      </c>
      <c r="Z228" s="46">
        <f t="shared" ref="Z228:Z230" si="119">SUM(AA228:AG228)</f>
        <v>0</v>
      </c>
      <c r="AA228" s="46">
        <v>0</v>
      </c>
      <c r="AB228" s="46">
        <v>0</v>
      </c>
      <c r="AC228" s="46">
        <v>0</v>
      </c>
      <c r="AD228" s="46">
        <v>0</v>
      </c>
      <c r="AE228" s="46">
        <v>0</v>
      </c>
      <c r="AF228" s="46">
        <v>0</v>
      </c>
      <c r="AG228" s="46">
        <v>0</v>
      </c>
      <c r="AH228" s="46">
        <f t="shared" ref="AH228:AH230" si="120">SUM(AI228:AL228)</f>
        <v>1</v>
      </c>
      <c r="AI228" s="46">
        <v>1</v>
      </c>
      <c r="AJ228" s="46">
        <v>0</v>
      </c>
      <c r="AK228" s="46">
        <v>0</v>
      </c>
      <c r="AL228" s="46">
        <v>0</v>
      </c>
      <c r="AM228" s="49">
        <v>1</v>
      </c>
      <c r="AN228" s="47">
        <v>44473</v>
      </c>
      <c r="AO228" s="46"/>
      <c r="AP228" s="46"/>
      <c r="AQ228" s="50">
        <f t="shared" si="4"/>
        <v>62</v>
      </c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52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</row>
    <row r="229" spans="1:81" ht="15" customHeight="1" x14ac:dyDescent="0.25">
      <c r="A229" s="46" t="s">
        <v>317</v>
      </c>
      <c r="B229" s="46" t="s">
        <v>93</v>
      </c>
      <c r="C229" s="46" t="s">
        <v>89</v>
      </c>
      <c r="D229" s="46">
        <v>97</v>
      </c>
      <c r="E229" s="46">
        <v>98</v>
      </c>
      <c r="F229" s="47">
        <v>44411</v>
      </c>
      <c r="G229" s="48" t="s">
        <v>89</v>
      </c>
      <c r="H229" s="48" t="s">
        <v>89</v>
      </c>
      <c r="I229" s="48" t="s">
        <v>89</v>
      </c>
      <c r="J229" s="48" t="s">
        <v>89</v>
      </c>
      <c r="K229" s="48" t="s">
        <v>89</v>
      </c>
      <c r="L229" s="48" t="s">
        <v>89</v>
      </c>
      <c r="M229" s="48" t="s">
        <v>89</v>
      </c>
      <c r="N229" s="48" t="s">
        <v>89</v>
      </c>
      <c r="O229" s="48" t="s">
        <v>89</v>
      </c>
      <c r="P229" s="48" t="s">
        <v>89</v>
      </c>
      <c r="Q229" s="48" t="s">
        <v>89</v>
      </c>
      <c r="R229" s="48" t="s">
        <v>89</v>
      </c>
      <c r="S229" s="48" t="s">
        <v>89</v>
      </c>
      <c r="T229" s="48" t="s">
        <v>89</v>
      </c>
      <c r="U229" s="46">
        <v>62</v>
      </c>
      <c r="V229" s="46">
        <f t="shared" si="118"/>
        <v>60</v>
      </c>
      <c r="W229" s="46">
        <v>50</v>
      </c>
      <c r="X229" s="46">
        <v>0</v>
      </c>
      <c r="Y229" s="46">
        <v>50</v>
      </c>
      <c r="Z229" s="46">
        <f t="shared" si="119"/>
        <v>10</v>
      </c>
      <c r="AA229" s="46">
        <v>0</v>
      </c>
      <c r="AB229" s="46">
        <v>0</v>
      </c>
      <c r="AC229" s="46">
        <v>5</v>
      </c>
      <c r="AD229" s="46">
        <v>5</v>
      </c>
      <c r="AE229" s="46">
        <v>0</v>
      </c>
      <c r="AF229" s="46">
        <v>0</v>
      </c>
      <c r="AG229" s="46">
        <v>0</v>
      </c>
      <c r="AH229" s="46">
        <f t="shared" si="120"/>
        <v>2</v>
      </c>
      <c r="AI229" s="46">
        <v>2</v>
      </c>
      <c r="AJ229" s="46">
        <v>0</v>
      </c>
      <c r="AK229" s="46">
        <v>0</v>
      </c>
      <c r="AL229" s="46">
        <v>0</v>
      </c>
      <c r="AM229" s="49">
        <v>1</v>
      </c>
      <c r="AN229" s="47">
        <v>44469</v>
      </c>
      <c r="AO229" s="46"/>
      <c r="AP229" s="46"/>
      <c r="AQ229" s="50">
        <f t="shared" si="4"/>
        <v>58</v>
      </c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52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</row>
    <row r="230" spans="1:81" ht="15" customHeight="1" x14ac:dyDescent="0.25">
      <c r="A230" s="46" t="s">
        <v>318</v>
      </c>
      <c r="B230" s="46" t="s">
        <v>93</v>
      </c>
      <c r="C230" s="46" t="s">
        <v>89</v>
      </c>
      <c r="D230" s="46">
        <v>18</v>
      </c>
      <c r="E230" s="46">
        <v>19</v>
      </c>
      <c r="F230" s="47">
        <v>44412</v>
      </c>
      <c r="G230" s="48" t="s">
        <v>89</v>
      </c>
      <c r="H230" s="48" t="s">
        <v>89</v>
      </c>
      <c r="I230" s="48" t="s">
        <v>89</v>
      </c>
      <c r="J230" s="48" t="s">
        <v>89</v>
      </c>
      <c r="K230" s="48" t="s">
        <v>89</v>
      </c>
      <c r="L230" s="48" t="s">
        <v>89</v>
      </c>
      <c r="M230" s="48" t="s">
        <v>89</v>
      </c>
      <c r="N230" s="48" t="s">
        <v>89</v>
      </c>
      <c r="O230" s="48" t="s">
        <v>89</v>
      </c>
      <c r="P230" s="48" t="s">
        <v>89</v>
      </c>
      <c r="Q230" s="48" t="s">
        <v>89</v>
      </c>
      <c r="R230" s="48" t="s">
        <v>89</v>
      </c>
      <c r="S230" s="48" t="s">
        <v>89</v>
      </c>
      <c r="T230" s="48" t="s">
        <v>89</v>
      </c>
      <c r="U230" s="46">
        <v>80</v>
      </c>
      <c r="V230" s="46">
        <f t="shared" si="118"/>
        <v>79</v>
      </c>
      <c r="W230" s="46">
        <v>78</v>
      </c>
      <c r="X230" s="46">
        <f>W230-Y230</f>
        <v>78</v>
      </c>
      <c r="Y230" s="46">
        <v>0</v>
      </c>
      <c r="Z230" s="46">
        <f t="shared" si="119"/>
        <v>1</v>
      </c>
      <c r="AA230" s="46">
        <v>1</v>
      </c>
      <c r="AB230" s="46">
        <v>0</v>
      </c>
      <c r="AC230" s="46">
        <v>0</v>
      </c>
      <c r="AD230" s="46">
        <v>0</v>
      </c>
      <c r="AE230" s="46">
        <v>0</v>
      </c>
      <c r="AF230" s="46">
        <v>0</v>
      </c>
      <c r="AG230" s="46">
        <v>0</v>
      </c>
      <c r="AH230" s="46">
        <f t="shared" si="120"/>
        <v>1</v>
      </c>
      <c r="AI230" s="46">
        <v>1</v>
      </c>
      <c r="AJ230" s="46">
        <v>0</v>
      </c>
      <c r="AK230" s="46">
        <v>0</v>
      </c>
      <c r="AL230" s="46">
        <v>0</v>
      </c>
      <c r="AM230" s="49">
        <v>1</v>
      </c>
      <c r="AN230" s="47">
        <v>44473</v>
      </c>
      <c r="AO230" s="46"/>
      <c r="AP230" s="46"/>
      <c r="AQ230" s="50">
        <f t="shared" si="4"/>
        <v>61</v>
      </c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52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</row>
    <row r="231" spans="1:81" ht="15" customHeight="1" x14ac:dyDescent="0.25">
      <c r="A231" s="46" t="s">
        <v>319</v>
      </c>
      <c r="B231" s="46" t="s">
        <v>93</v>
      </c>
      <c r="C231" s="46" t="s">
        <v>89</v>
      </c>
      <c r="D231" s="46">
        <v>67</v>
      </c>
      <c r="E231" s="46">
        <v>68</v>
      </c>
      <c r="F231" s="47">
        <v>44418</v>
      </c>
      <c r="G231" s="48" t="s">
        <v>89</v>
      </c>
      <c r="H231" s="48" t="s">
        <v>89</v>
      </c>
      <c r="I231" s="48" t="s">
        <v>89</v>
      </c>
      <c r="J231" s="48" t="s">
        <v>89</v>
      </c>
      <c r="K231" s="48" t="s">
        <v>89</v>
      </c>
      <c r="L231" s="48" t="s">
        <v>89</v>
      </c>
      <c r="M231" s="48" t="s">
        <v>89</v>
      </c>
      <c r="N231" s="48" t="s">
        <v>89</v>
      </c>
      <c r="O231" s="48" t="s">
        <v>89</v>
      </c>
      <c r="P231" s="48" t="s">
        <v>89</v>
      </c>
      <c r="Q231" s="48" t="s">
        <v>89</v>
      </c>
      <c r="R231" s="48" t="s">
        <v>89</v>
      </c>
      <c r="S231" s="48" t="s">
        <v>89</v>
      </c>
      <c r="T231" s="48" t="s">
        <v>89</v>
      </c>
      <c r="U231" s="48" t="s">
        <v>89</v>
      </c>
      <c r="V231" s="48" t="s">
        <v>89</v>
      </c>
      <c r="W231" s="48" t="s">
        <v>89</v>
      </c>
      <c r="X231" s="48" t="s">
        <v>89</v>
      </c>
      <c r="Y231" s="48" t="s">
        <v>89</v>
      </c>
      <c r="Z231" s="48" t="s">
        <v>89</v>
      </c>
      <c r="AA231" s="48" t="s">
        <v>89</v>
      </c>
      <c r="AB231" s="48" t="s">
        <v>89</v>
      </c>
      <c r="AC231" s="48" t="s">
        <v>89</v>
      </c>
      <c r="AD231" s="48" t="s">
        <v>89</v>
      </c>
      <c r="AE231" s="48" t="s">
        <v>89</v>
      </c>
      <c r="AF231" s="48" t="s">
        <v>89</v>
      </c>
      <c r="AG231" s="48" t="s">
        <v>89</v>
      </c>
      <c r="AH231" s="48" t="s">
        <v>89</v>
      </c>
      <c r="AI231" s="48" t="s">
        <v>89</v>
      </c>
      <c r="AJ231" s="48" t="s">
        <v>89</v>
      </c>
      <c r="AK231" s="48" t="s">
        <v>89</v>
      </c>
      <c r="AL231" s="48" t="s">
        <v>89</v>
      </c>
      <c r="AM231" s="46">
        <v>0</v>
      </c>
      <c r="AN231" s="46" t="s">
        <v>89</v>
      </c>
      <c r="AO231" s="46"/>
      <c r="AP231" s="46"/>
      <c r="AQ231" s="50" t="str">
        <f t="shared" si="4"/>
        <v>N.A.</v>
      </c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52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</row>
    <row r="232" spans="1:81" ht="15" customHeight="1" x14ac:dyDescent="0.25">
      <c r="A232" s="46" t="s">
        <v>320</v>
      </c>
      <c r="B232" s="46" t="s">
        <v>93</v>
      </c>
      <c r="C232" s="46" t="s">
        <v>89</v>
      </c>
      <c r="D232" s="46">
        <v>46</v>
      </c>
      <c r="E232" s="46">
        <v>47</v>
      </c>
      <c r="F232" s="47">
        <v>44418</v>
      </c>
      <c r="G232" s="48" t="s">
        <v>89</v>
      </c>
      <c r="H232" s="48" t="s">
        <v>89</v>
      </c>
      <c r="I232" s="48" t="s">
        <v>89</v>
      </c>
      <c r="J232" s="48" t="s">
        <v>89</v>
      </c>
      <c r="K232" s="48" t="s">
        <v>89</v>
      </c>
      <c r="L232" s="48" t="s">
        <v>89</v>
      </c>
      <c r="M232" s="48" t="s">
        <v>89</v>
      </c>
      <c r="N232" s="48" t="s">
        <v>89</v>
      </c>
      <c r="O232" s="48" t="s">
        <v>89</v>
      </c>
      <c r="P232" s="48" t="s">
        <v>89</v>
      </c>
      <c r="Q232" s="48" t="s">
        <v>89</v>
      </c>
      <c r="R232" s="48" t="s">
        <v>89</v>
      </c>
      <c r="S232" s="48" t="s">
        <v>89</v>
      </c>
      <c r="T232" s="48" t="s">
        <v>89</v>
      </c>
      <c r="U232" s="48" t="s">
        <v>89</v>
      </c>
      <c r="V232" s="48" t="s">
        <v>89</v>
      </c>
      <c r="W232" s="48" t="s">
        <v>89</v>
      </c>
      <c r="X232" s="48" t="s">
        <v>89</v>
      </c>
      <c r="Y232" s="48" t="s">
        <v>89</v>
      </c>
      <c r="Z232" s="48" t="s">
        <v>89</v>
      </c>
      <c r="AA232" s="48" t="s">
        <v>89</v>
      </c>
      <c r="AB232" s="48" t="s">
        <v>89</v>
      </c>
      <c r="AC232" s="48" t="s">
        <v>89</v>
      </c>
      <c r="AD232" s="48" t="s">
        <v>89</v>
      </c>
      <c r="AE232" s="48" t="s">
        <v>89</v>
      </c>
      <c r="AF232" s="48" t="s">
        <v>89</v>
      </c>
      <c r="AG232" s="48" t="s">
        <v>89</v>
      </c>
      <c r="AH232" s="48" t="s">
        <v>89</v>
      </c>
      <c r="AI232" s="48" t="s">
        <v>89</v>
      </c>
      <c r="AJ232" s="48" t="s">
        <v>89</v>
      </c>
      <c r="AK232" s="48" t="s">
        <v>89</v>
      </c>
      <c r="AL232" s="48" t="s">
        <v>89</v>
      </c>
      <c r="AM232" s="46">
        <v>0</v>
      </c>
      <c r="AN232" s="46" t="s">
        <v>89</v>
      </c>
      <c r="AO232" s="46"/>
      <c r="AP232" s="46"/>
      <c r="AQ232" s="50" t="str">
        <f t="shared" si="4"/>
        <v>N.A.</v>
      </c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52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</row>
    <row r="233" spans="1:81" ht="15" customHeight="1" x14ac:dyDescent="0.25">
      <c r="A233" s="46" t="s">
        <v>321</v>
      </c>
      <c r="B233" s="46" t="s">
        <v>93</v>
      </c>
      <c r="C233" s="46" t="s">
        <v>89</v>
      </c>
      <c r="D233" s="46">
        <v>99</v>
      </c>
      <c r="E233" s="46">
        <v>100</v>
      </c>
      <c r="F233" s="47">
        <v>44419</v>
      </c>
      <c r="G233" s="48" t="s">
        <v>89</v>
      </c>
      <c r="H233" s="48" t="s">
        <v>89</v>
      </c>
      <c r="I233" s="48" t="s">
        <v>89</v>
      </c>
      <c r="J233" s="48" t="s">
        <v>89</v>
      </c>
      <c r="K233" s="48" t="s">
        <v>89</v>
      </c>
      <c r="L233" s="48" t="s">
        <v>89</v>
      </c>
      <c r="M233" s="48" t="s">
        <v>89</v>
      </c>
      <c r="N233" s="48" t="s">
        <v>89</v>
      </c>
      <c r="O233" s="48" t="s">
        <v>89</v>
      </c>
      <c r="P233" s="48" t="s">
        <v>89</v>
      </c>
      <c r="Q233" s="48" t="s">
        <v>89</v>
      </c>
      <c r="R233" s="48" t="s">
        <v>89</v>
      </c>
      <c r="S233" s="48" t="s">
        <v>89</v>
      </c>
      <c r="T233" s="48" t="s">
        <v>89</v>
      </c>
      <c r="U233" s="48" t="s">
        <v>89</v>
      </c>
      <c r="V233" s="48" t="s">
        <v>89</v>
      </c>
      <c r="W233" s="48" t="s">
        <v>89</v>
      </c>
      <c r="X233" s="48" t="s">
        <v>89</v>
      </c>
      <c r="Y233" s="48" t="s">
        <v>89</v>
      </c>
      <c r="Z233" s="46">
        <f>SUM(AA233:AG233)</f>
        <v>0</v>
      </c>
      <c r="AA233" s="46">
        <v>0</v>
      </c>
      <c r="AB233" s="46">
        <v>0</v>
      </c>
      <c r="AC233" s="46">
        <v>0</v>
      </c>
      <c r="AD233" s="46">
        <v>0</v>
      </c>
      <c r="AE233" s="46">
        <v>0</v>
      </c>
      <c r="AF233" s="46">
        <v>0</v>
      </c>
      <c r="AG233" s="46">
        <v>0</v>
      </c>
      <c r="AH233" s="46">
        <f>SUM(AI233:AL233)</f>
        <v>0</v>
      </c>
      <c r="AI233" s="48" t="s">
        <v>89</v>
      </c>
      <c r="AJ233" s="48" t="s">
        <v>89</v>
      </c>
      <c r="AK233" s="46">
        <v>0</v>
      </c>
      <c r="AL233" s="46">
        <v>0</v>
      </c>
      <c r="AM233" s="49">
        <v>1</v>
      </c>
      <c r="AN233" s="46" t="s">
        <v>89</v>
      </c>
      <c r="AO233" s="46"/>
      <c r="AP233" s="46"/>
      <c r="AQ233" s="50" t="str">
        <f t="shared" si="4"/>
        <v>N.A.</v>
      </c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52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</row>
    <row r="234" spans="1:81" ht="15" customHeight="1" x14ac:dyDescent="0.25">
      <c r="A234" s="46" t="s">
        <v>322</v>
      </c>
      <c r="B234" s="46" t="s">
        <v>88</v>
      </c>
      <c r="C234" s="46" t="s">
        <v>89</v>
      </c>
      <c r="D234" s="46">
        <v>146</v>
      </c>
      <c r="E234" s="46">
        <v>147</v>
      </c>
      <c r="F234" s="47">
        <v>44420</v>
      </c>
      <c r="G234" s="48" t="s">
        <v>89</v>
      </c>
      <c r="H234" s="48" t="s">
        <v>89</v>
      </c>
      <c r="I234" s="48" t="s">
        <v>89</v>
      </c>
      <c r="J234" s="48" t="s">
        <v>89</v>
      </c>
      <c r="K234" s="48" t="s">
        <v>89</v>
      </c>
      <c r="L234" s="48" t="s">
        <v>89</v>
      </c>
      <c r="M234" s="48" t="s">
        <v>89</v>
      </c>
      <c r="N234" s="48" t="s">
        <v>89</v>
      </c>
      <c r="O234" s="48" t="s">
        <v>89</v>
      </c>
      <c r="P234" s="48" t="s">
        <v>89</v>
      </c>
      <c r="Q234" s="48" t="s">
        <v>89</v>
      </c>
      <c r="R234" s="48" t="s">
        <v>89</v>
      </c>
      <c r="S234" s="48" t="s">
        <v>89</v>
      </c>
      <c r="T234" s="48" t="s">
        <v>89</v>
      </c>
      <c r="U234" s="48" t="s">
        <v>89</v>
      </c>
      <c r="V234" s="48" t="s">
        <v>89</v>
      </c>
      <c r="W234" s="48" t="s">
        <v>89</v>
      </c>
      <c r="X234" s="48" t="s">
        <v>89</v>
      </c>
      <c r="Y234" s="48" t="s">
        <v>89</v>
      </c>
      <c r="Z234" s="48" t="s">
        <v>89</v>
      </c>
      <c r="AA234" s="48" t="s">
        <v>89</v>
      </c>
      <c r="AB234" s="48" t="s">
        <v>89</v>
      </c>
      <c r="AC234" s="48" t="s">
        <v>89</v>
      </c>
      <c r="AD234" s="48" t="s">
        <v>89</v>
      </c>
      <c r="AE234" s="48" t="s">
        <v>89</v>
      </c>
      <c r="AF234" s="48" t="s">
        <v>89</v>
      </c>
      <c r="AG234" s="48" t="s">
        <v>89</v>
      </c>
      <c r="AH234" s="48" t="s">
        <v>89</v>
      </c>
      <c r="AI234" s="48" t="s">
        <v>89</v>
      </c>
      <c r="AJ234" s="48" t="s">
        <v>89</v>
      </c>
      <c r="AK234" s="48" t="s">
        <v>89</v>
      </c>
      <c r="AL234" s="48" t="s">
        <v>89</v>
      </c>
      <c r="AM234" s="46">
        <v>0</v>
      </c>
      <c r="AN234" s="48" t="s">
        <v>89</v>
      </c>
      <c r="AO234" s="46"/>
      <c r="AP234" s="46"/>
      <c r="AQ234" s="50" t="str">
        <f t="shared" si="4"/>
        <v>N.A.</v>
      </c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52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</row>
    <row r="235" spans="1:81" ht="15" customHeight="1" x14ac:dyDescent="0.25">
      <c r="A235" s="46" t="s">
        <v>323</v>
      </c>
      <c r="B235" s="46" t="s">
        <v>93</v>
      </c>
      <c r="C235" s="46" t="s">
        <v>89</v>
      </c>
      <c r="D235" s="46">
        <v>30</v>
      </c>
      <c r="E235" s="46">
        <v>31</v>
      </c>
      <c r="F235" s="47">
        <v>44420</v>
      </c>
      <c r="G235" s="48" t="s">
        <v>89</v>
      </c>
      <c r="H235" s="48" t="s">
        <v>89</v>
      </c>
      <c r="I235" s="48" t="s">
        <v>89</v>
      </c>
      <c r="J235" s="48" t="s">
        <v>89</v>
      </c>
      <c r="K235" s="48" t="s">
        <v>89</v>
      </c>
      <c r="L235" s="48" t="s">
        <v>89</v>
      </c>
      <c r="M235" s="48" t="s">
        <v>89</v>
      </c>
      <c r="N235" s="48" t="s">
        <v>89</v>
      </c>
      <c r="O235" s="48" t="s">
        <v>89</v>
      </c>
      <c r="P235" s="48" t="s">
        <v>89</v>
      </c>
      <c r="Q235" s="48" t="s">
        <v>89</v>
      </c>
      <c r="R235" s="48" t="s">
        <v>89</v>
      </c>
      <c r="S235" s="48" t="s">
        <v>89</v>
      </c>
      <c r="T235" s="48" t="s">
        <v>89</v>
      </c>
      <c r="U235" s="48" t="s">
        <v>89</v>
      </c>
      <c r="V235" s="48" t="s">
        <v>89</v>
      </c>
      <c r="W235" s="48" t="s">
        <v>89</v>
      </c>
      <c r="X235" s="48" t="s">
        <v>89</v>
      </c>
      <c r="Y235" s="48" t="s">
        <v>89</v>
      </c>
      <c r="Z235" s="48" t="s">
        <v>89</v>
      </c>
      <c r="AA235" s="48" t="s">
        <v>89</v>
      </c>
      <c r="AB235" s="48" t="s">
        <v>89</v>
      </c>
      <c r="AC235" s="48" t="s">
        <v>89</v>
      </c>
      <c r="AD235" s="48" t="s">
        <v>89</v>
      </c>
      <c r="AE235" s="48" t="s">
        <v>89</v>
      </c>
      <c r="AF235" s="48" t="s">
        <v>89</v>
      </c>
      <c r="AG235" s="48" t="s">
        <v>89</v>
      </c>
      <c r="AH235" s="48" t="s">
        <v>89</v>
      </c>
      <c r="AI235" s="48" t="s">
        <v>89</v>
      </c>
      <c r="AJ235" s="48" t="s">
        <v>89</v>
      </c>
      <c r="AK235" s="48" t="s">
        <v>89</v>
      </c>
      <c r="AL235" s="48" t="s">
        <v>89</v>
      </c>
      <c r="AM235" s="49">
        <v>0</v>
      </c>
      <c r="AN235" s="48" t="s">
        <v>89</v>
      </c>
      <c r="AO235" s="46"/>
      <c r="AP235" s="46"/>
      <c r="AQ235" s="50" t="str">
        <f t="shared" si="4"/>
        <v>N.A.</v>
      </c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52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</row>
    <row r="236" spans="1:81" ht="15" customHeight="1" x14ac:dyDescent="0.25">
      <c r="A236" s="46" t="s">
        <v>324</v>
      </c>
      <c r="B236" s="46" t="s">
        <v>88</v>
      </c>
      <c r="C236" s="46" t="s">
        <v>89</v>
      </c>
      <c r="D236" s="46">
        <v>30</v>
      </c>
      <c r="E236" s="46">
        <v>31</v>
      </c>
      <c r="F236" s="47">
        <v>44422</v>
      </c>
      <c r="G236" s="48" t="s">
        <v>89</v>
      </c>
      <c r="H236" s="48" t="s">
        <v>89</v>
      </c>
      <c r="I236" s="48" t="s">
        <v>89</v>
      </c>
      <c r="J236" s="48" t="s">
        <v>89</v>
      </c>
      <c r="K236" s="48" t="s">
        <v>89</v>
      </c>
      <c r="L236" s="48" t="s">
        <v>89</v>
      </c>
      <c r="M236" s="48" t="s">
        <v>89</v>
      </c>
      <c r="N236" s="48" t="s">
        <v>89</v>
      </c>
      <c r="O236" s="48" t="s">
        <v>89</v>
      </c>
      <c r="P236" s="48" t="s">
        <v>89</v>
      </c>
      <c r="Q236" s="48" t="s">
        <v>89</v>
      </c>
      <c r="R236" s="48" t="s">
        <v>89</v>
      </c>
      <c r="S236" s="48" t="s">
        <v>89</v>
      </c>
      <c r="T236" s="48" t="s">
        <v>89</v>
      </c>
      <c r="U236" s="48" t="s">
        <v>89</v>
      </c>
      <c r="V236" s="48" t="s">
        <v>89</v>
      </c>
      <c r="W236" s="48" t="s">
        <v>89</v>
      </c>
      <c r="X236" s="48" t="s">
        <v>89</v>
      </c>
      <c r="Y236" s="48" t="s">
        <v>89</v>
      </c>
      <c r="Z236" s="48" t="s">
        <v>89</v>
      </c>
      <c r="AA236" s="48" t="s">
        <v>89</v>
      </c>
      <c r="AB236" s="48" t="s">
        <v>89</v>
      </c>
      <c r="AC236" s="48" t="s">
        <v>89</v>
      </c>
      <c r="AD236" s="48" t="s">
        <v>89</v>
      </c>
      <c r="AE236" s="48" t="s">
        <v>89</v>
      </c>
      <c r="AF236" s="48" t="s">
        <v>89</v>
      </c>
      <c r="AG236" s="48" t="s">
        <v>89</v>
      </c>
      <c r="AH236" s="48" t="s">
        <v>89</v>
      </c>
      <c r="AI236" s="48" t="s">
        <v>89</v>
      </c>
      <c r="AJ236" s="48" t="s">
        <v>89</v>
      </c>
      <c r="AK236" s="48" t="s">
        <v>89</v>
      </c>
      <c r="AL236" s="48" t="s">
        <v>89</v>
      </c>
      <c r="AM236" s="49">
        <v>0</v>
      </c>
      <c r="AN236" s="48" t="s">
        <v>89</v>
      </c>
      <c r="AO236" s="46"/>
      <c r="AP236" s="46"/>
      <c r="AQ236" s="50" t="str">
        <f t="shared" si="4"/>
        <v>N.A.</v>
      </c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52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</row>
    <row r="237" spans="1:81" ht="15" customHeight="1" x14ac:dyDescent="0.25">
      <c r="A237" s="46" t="s">
        <v>325</v>
      </c>
      <c r="B237" s="46" t="s">
        <v>93</v>
      </c>
      <c r="C237" s="46" t="s">
        <v>89</v>
      </c>
      <c r="D237" s="46">
        <v>135</v>
      </c>
      <c r="E237" s="46">
        <v>136</v>
      </c>
      <c r="F237" s="47" t="s">
        <v>89</v>
      </c>
      <c r="G237" s="48" t="s">
        <v>89</v>
      </c>
      <c r="H237" s="48" t="s">
        <v>89</v>
      </c>
      <c r="I237" s="48" t="s">
        <v>89</v>
      </c>
      <c r="J237" s="48" t="s">
        <v>89</v>
      </c>
      <c r="K237" s="48" t="s">
        <v>89</v>
      </c>
      <c r="L237" s="48" t="s">
        <v>89</v>
      </c>
      <c r="M237" s="48" t="s">
        <v>89</v>
      </c>
      <c r="N237" s="48" t="s">
        <v>89</v>
      </c>
      <c r="O237" s="48" t="s">
        <v>89</v>
      </c>
      <c r="P237" s="48" t="s">
        <v>89</v>
      </c>
      <c r="Q237" s="48" t="s">
        <v>89</v>
      </c>
      <c r="R237" s="48" t="s">
        <v>89</v>
      </c>
      <c r="S237" s="48" t="s">
        <v>89</v>
      </c>
      <c r="T237" s="48" t="s">
        <v>89</v>
      </c>
      <c r="U237" s="48" t="s">
        <v>89</v>
      </c>
      <c r="V237" s="48" t="s">
        <v>89</v>
      </c>
      <c r="W237" s="48" t="s">
        <v>89</v>
      </c>
      <c r="X237" s="48" t="s">
        <v>89</v>
      </c>
      <c r="Y237" s="48" t="s">
        <v>89</v>
      </c>
      <c r="Z237" s="46">
        <f t="shared" ref="Z237:Z241" si="121">SUM(AA237:AG237)</f>
        <v>0</v>
      </c>
      <c r="AA237" s="46">
        <v>0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46">
        <f t="shared" ref="AH237:AH241" si="122">SUM(AI237:AL237)</f>
        <v>0</v>
      </c>
      <c r="AI237" s="48" t="s">
        <v>89</v>
      </c>
      <c r="AJ237" s="48" t="s">
        <v>89</v>
      </c>
      <c r="AK237" s="46">
        <v>0</v>
      </c>
      <c r="AL237" s="46">
        <v>0</v>
      </c>
      <c r="AM237" s="49">
        <v>1</v>
      </c>
      <c r="AN237" s="47">
        <v>44434</v>
      </c>
      <c r="AO237" s="46"/>
      <c r="AP237" s="46"/>
      <c r="AQ237" s="50" t="s">
        <v>89</v>
      </c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52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</row>
    <row r="238" spans="1:81" ht="15" customHeight="1" x14ac:dyDescent="0.25">
      <c r="A238" s="46" t="s">
        <v>326</v>
      </c>
      <c r="B238" s="46" t="s">
        <v>88</v>
      </c>
      <c r="C238" s="46" t="s">
        <v>89</v>
      </c>
      <c r="D238" s="46">
        <v>150</v>
      </c>
      <c r="E238" s="46">
        <v>151</v>
      </c>
      <c r="F238" s="47" t="s">
        <v>89</v>
      </c>
      <c r="G238" s="48" t="s">
        <v>89</v>
      </c>
      <c r="H238" s="48" t="s">
        <v>89</v>
      </c>
      <c r="I238" s="48" t="s">
        <v>89</v>
      </c>
      <c r="J238" s="48" t="s">
        <v>89</v>
      </c>
      <c r="K238" s="48" t="s">
        <v>89</v>
      </c>
      <c r="L238" s="48" t="s">
        <v>89</v>
      </c>
      <c r="M238" s="48" t="s">
        <v>89</v>
      </c>
      <c r="N238" s="48" t="s">
        <v>89</v>
      </c>
      <c r="O238" s="48" t="s">
        <v>89</v>
      </c>
      <c r="P238" s="48" t="s">
        <v>89</v>
      </c>
      <c r="Q238" s="48" t="s">
        <v>89</v>
      </c>
      <c r="R238" s="48" t="s">
        <v>89</v>
      </c>
      <c r="S238" s="48" t="s">
        <v>89</v>
      </c>
      <c r="T238" s="48" t="s">
        <v>89</v>
      </c>
      <c r="U238" s="48" t="s">
        <v>89</v>
      </c>
      <c r="V238" s="48" t="s">
        <v>89</v>
      </c>
      <c r="W238" s="48" t="s">
        <v>89</v>
      </c>
      <c r="X238" s="48" t="s">
        <v>89</v>
      </c>
      <c r="Y238" s="48" t="s">
        <v>89</v>
      </c>
      <c r="Z238" s="46">
        <f t="shared" si="121"/>
        <v>0</v>
      </c>
      <c r="AA238" s="46">
        <v>0</v>
      </c>
      <c r="AB238" s="46">
        <v>0</v>
      </c>
      <c r="AC238" s="46">
        <v>0</v>
      </c>
      <c r="AD238" s="46">
        <v>0</v>
      </c>
      <c r="AE238" s="46">
        <v>0</v>
      </c>
      <c r="AF238" s="46">
        <v>0</v>
      </c>
      <c r="AG238" s="46">
        <v>0</v>
      </c>
      <c r="AH238" s="46">
        <f t="shared" si="122"/>
        <v>0</v>
      </c>
      <c r="AI238" s="48" t="s">
        <v>89</v>
      </c>
      <c r="AJ238" s="48" t="s">
        <v>89</v>
      </c>
      <c r="AK238" s="46">
        <v>0</v>
      </c>
      <c r="AL238" s="46">
        <v>0</v>
      </c>
      <c r="AM238" s="49">
        <v>1</v>
      </c>
      <c r="AN238" s="47">
        <v>44436</v>
      </c>
      <c r="AO238" s="46"/>
      <c r="AP238" s="46"/>
      <c r="AQ238" s="50" t="s">
        <v>89</v>
      </c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52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</row>
    <row r="239" spans="1:81" ht="15" customHeight="1" x14ac:dyDescent="0.25">
      <c r="A239" s="46" t="s">
        <v>327</v>
      </c>
      <c r="B239" s="46" t="s">
        <v>93</v>
      </c>
      <c r="C239" s="46" t="s">
        <v>89</v>
      </c>
      <c r="D239" s="46">
        <v>37</v>
      </c>
      <c r="E239" s="46">
        <v>38</v>
      </c>
      <c r="F239" s="47" t="s">
        <v>89</v>
      </c>
      <c r="G239" s="48" t="s">
        <v>89</v>
      </c>
      <c r="H239" s="48" t="s">
        <v>89</v>
      </c>
      <c r="I239" s="48" t="s">
        <v>89</v>
      </c>
      <c r="J239" s="48" t="s">
        <v>89</v>
      </c>
      <c r="K239" s="48" t="s">
        <v>89</v>
      </c>
      <c r="L239" s="48" t="s">
        <v>89</v>
      </c>
      <c r="M239" s="48" t="s">
        <v>89</v>
      </c>
      <c r="N239" s="48" t="s">
        <v>89</v>
      </c>
      <c r="O239" s="48" t="s">
        <v>89</v>
      </c>
      <c r="P239" s="48" t="s">
        <v>89</v>
      </c>
      <c r="Q239" s="48" t="s">
        <v>89</v>
      </c>
      <c r="R239" s="48" t="s">
        <v>89</v>
      </c>
      <c r="S239" s="48" t="s">
        <v>89</v>
      </c>
      <c r="T239" s="48" t="s">
        <v>89</v>
      </c>
      <c r="U239" s="48" t="s">
        <v>89</v>
      </c>
      <c r="V239" s="48" t="s">
        <v>89</v>
      </c>
      <c r="W239" s="48" t="s">
        <v>89</v>
      </c>
      <c r="X239" s="48" t="s">
        <v>89</v>
      </c>
      <c r="Y239" s="48" t="s">
        <v>89</v>
      </c>
      <c r="Z239" s="46">
        <f t="shared" si="121"/>
        <v>0</v>
      </c>
      <c r="AA239" s="46">
        <v>0</v>
      </c>
      <c r="AB239" s="46">
        <v>0</v>
      </c>
      <c r="AC239" s="46">
        <v>0</v>
      </c>
      <c r="AD239" s="46">
        <v>0</v>
      </c>
      <c r="AE239" s="46">
        <v>0</v>
      </c>
      <c r="AF239" s="46">
        <v>0</v>
      </c>
      <c r="AG239" s="46">
        <v>0</v>
      </c>
      <c r="AH239" s="46">
        <f t="shared" si="122"/>
        <v>0</v>
      </c>
      <c r="AI239" s="48" t="s">
        <v>89</v>
      </c>
      <c r="AJ239" s="48" t="s">
        <v>89</v>
      </c>
      <c r="AK239" s="46">
        <v>0</v>
      </c>
      <c r="AL239" s="46">
        <v>0</v>
      </c>
      <c r="AM239" s="49">
        <v>1</v>
      </c>
      <c r="AN239" s="47">
        <v>44439</v>
      </c>
      <c r="AO239" s="46"/>
      <c r="AP239" s="46"/>
      <c r="AQ239" s="50" t="s">
        <v>89</v>
      </c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52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</row>
    <row r="240" spans="1:81" ht="15" customHeight="1" x14ac:dyDescent="0.25">
      <c r="A240" s="46" t="s">
        <v>328</v>
      </c>
      <c r="B240" s="46" t="s">
        <v>93</v>
      </c>
      <c r="C240" s="46" t="s">
        <v>89</v>
      </c>
      <c r="D240" s="46">
        <v>40</v>
      </c>
      <c r="E240" s="46">
        <v>41</v>
      </c>
      <c r="F240" s="47" t="s">
        <v>89</v>
      </c>
      <c r="G240" s="48" t="s">
        <v>89</v>
      </c>
      <c r="H240" s="48" t="s">
        <v>89</v>
      </c>
      <c r="I240" s="48" t="s">
        <v>89</v>
      </c>
      <c r="J240" s="48" t="s">
        <v>89</v>
      </c>
      <c r="K240" s="48" t="s">
        <v>89</v>
      </c>
      <c r="L240" s="48" t="s">
        <v>89</v>
      </c>
      <c r="M240" s="48" t="s">
        <v>89</v>
      </c>
      <c r="N240" s="48" t="s">
        <v>89</v>
      </c>
      <c r="O240" s="48" t="s">
        <v>89</v>
      </c>
      <c r="P240" s="48" t="s">
        <v>89</v>
      </c>
      <c r="Q240" s="48" t="s">
        <v>89</v>
      </c>
      <c r="R240" s="48" t="s">
        <v>89</v>
      </c>
      <c r="S240" s="48" t="s">
        <v>89</v>
      </c>
      <c r="T240" s="48" t="s">
        <v>89</v>
      </c>
      <c r="U240" s="48" t="s">
        <v>89</v>
      </c>
      <c r="V240" s="48" t="s">
        <v>89</v>
      </c>
      <c r="W240" s="48" t="s">
        <v>89</v>
      </c>
      <c r="X240" s="48" t="s">
        <v>89</v>
      </c>
      <c r="Y240" s="48" t="s">
        <v>89</v>
      </c>
      <c r="Z240" s="46">
        <f t="shared" si="121"/>
        <v>0</v>
      </c>
      <c r="AA240" s="46">
        <v>0</v>
      </c>
      <c r="AB240" s="46">
        <v>0</v>
      </c>
      <c r="AC240" s="46">
        <v>0</v>
      </c>
      <c r="AD240" s="46">
        <v>0</v>
      </c>
      <c r="AE240" s="46">
        <v>0</v>
      </c>
      <c r="AF240" s="46">
        <v>0</v>
      </c>
      <c r="AG240" s="46">
        <v>0</v>
      </c>
      <c r="AH240" s="46">
        <f t="shared" si="122"/>
        <v>0</v>
      </c>
      <c r="AI240" s="48" t="s">
        <v>89</v>
      </c>
      <c r="AJ240" s="48" t="s">
        <v>89</v>
      </c>
      <c r="AK240" s="46">
        <v>0</v>
      </c>
      <c r="AL240" s="46">
        <v>0</v>
      </c>
      <c r="AM240" s="49">
        <v>1</v>
      </c>
      <c r="AN240" s="47">
        <v>44440</v>
      </c>
      <c r="AO240" s="46"/>
      <c r="AP240" s="46"/>
      <c r="AQ240" s="50" t="s">
        <v>89</v>
      </c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52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</row>
    <row r="241" spans="1:81" ht="15" customHeight="1" x14ac:dyDescent="0.25">
      <c r="A241" s="46" t="s">
        <v>329</v>
      </c>
      <c r="B241" s="46" t="s">
        <v>93</v>
      </c>
      <c r="C241" s="46" t="s">
        <v>89</v>
      </c>
      <c r="D241" s="46">
        <v>10</v>
      </c>
      <c r="E241" s="46">
        <v>11</v>
      </c>
      <c r="F241" s="47" t="s">
        <v>89</v>
      </c>
      <c r="G241" s="48" t="s">
        <v>89</v>
      </c>
      <c r="H241" s="48" t="s">
        <v>89</v>
      </c>
      <c r="I241" s="48" t="s">
        <v>89</v>
      </c>
      <c r="J241" s="48" t="s">
        <v>89</v>
      </c>
      <c r="K241" s="48" t="s">
        <v>89</v>
      </c>
      <c r="L241" s="48" t="s">
        <v>89</v>
      </c>
      <c r="M241" s="48" t="s">
        <v>89</v>
      </c>
      <c r="N241" s="48" t="s">
        <v>89</v>
      </c>
      <c r="O241" s="48" t="s">
        <v>89</v>
      </c>
      <c r="P241" s="48" t="s">
        <v>89</v>
      </c>
      <c r="Q241" s="48" t="s">
        <v>89</v>
      </c>
      <c r="R241" s="48" t="s">
        <v>89</v>
      </c>
      <c r="S241" s="48" t="s">
        <v>89</v>
      </c>
      <c r="T241" s="48" t="s">
        <v>89</v>
      </c>
      <c r="U241" s="46">
        <v>67</v>
      </c>
      <c r="V241" s="46">
        <f>W241+Z241</f>
        <v>60</v>
      </c>
      <c r="W241" s="46">
        <v>56</v>
      </c>
      <c r="X241" s="46">
        <f>W241-Y241</f>
        <v>56</v>
      </c>
      <c r="Y241" s="46">
        <v>0</v>
      </c>
      <c r="Z241" s="46">
        <f t="shared" si="121"/>
        <v>4</v>
      </c>
      <c r="AA241" s="46">
        <v>1</v>
      </c>
      <c r="AB241" s="46">
        <v>0</v>
      </c>
      <c r="AC241" s="46">
        <v>3</v>
      </c>
      <c r="AD241" s="46">
        <v>0</v>
      </c>
      <c r="AE241" s="46">
        <v>0</v>
      </c>
      <c r="AF241" s="46">
        <v>0</v>
      </c>
      <c r="AG241" s="46">
        <v>0</v>
      </c>
      <c r="AH241" s="46">
        <f t="shared" si="122"/>
        <v>7</v>
      </c>
      <c r="AI241" s="46">
        <v>7</v>
      </c>
      <c r="AJ241" s="46">
        <v>0</v>
      </c>
      <c r="AK241" s="46">
        <v>0</v>
      </c>
      <c r="AL241" s="46">
        <v>0</v>
      </c>
      <c r="AM241" s="49">
        <v>1</v>
      </c>
      <c r="AN241" s="47">
        <v>44455</v>
      </c>
      <c r="AO241" s="46"/>
      <c r="AP241" s="46"/>
      <c r="AQ241" s="50" t="s">
        <v>89</v>
      </c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52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</row>
    <row r="242" spans="1:81" ht="15.75" x14ac:dyDescent="0.25">
      <c r="A242" s="68"/>
      <c r="B242" s="68"/>
      <c r="C242" s="68"/>
      <c r="D242" s="69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</row>
    <row r="243" spans="1:81" ht="15.75" x14ac:dyDescent="0.25">
      <c r="A243" s="68"/>
      <c r="B243" s="68"/>
      <c r="C243" s="68"/>
      <c r="D243" s="69"/>
      <c r="E243" s="68"/>
      <c r="F243" s="68"/>
      <c r="G243" s="68"/>
      <c r="H243" s="70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</row>
    <row r="244" spans="1:81" ht="15.75" x14ac:dyDescent="0.25">
      <c r="A244" s="68"/>
      <c r="B244" s="68"/>
      <c r="C244" s="68"/>
      <c r="D244" s="69"/>
      <c r="E244" s="68"/>
      <c r="F244" s="68"/>
      <c r="G244" s="68"/>
      <c r="H244" s="44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</row>
    <row r="245" spans="1:81" ht="15.75" x14ac:dyDescent="0.25">
      <c r="A245" s="68"/>
      <c r="B245" s="68"/>
      <c r="C245" s="68"/>
      <c r="D245" s="69"/>
      <c r="E245" s="68"/>
      <c r="F245" s="68"/>
      <c r="G245" s="68"/>
      <c r="H245" s="44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71"/>
      <c r="V245" s="72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</row>
    <row r="246" spans="1:81" ht="15.75" x14ac:dyDescent="0.25">
      <c r="A246" s="68"/>
      <c r="B246" s="68"/>
      <c r="C246" s="68"/>
      <c r="D246" s="69"/>
      <c r="E246" s="68"/>
      <c r="F246" s="68"/>
      <c r="G246" s="68"/>
      <c r="H246" s="44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72"/>
      <c r="V246" s="72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</row>
    <row r="247" spans="1:81" ht="15.75" x14ac:dyDescent="0.25">
      <c r="A247" s="68"/>
      <c r="B247" s="68"/>
      <c r="C247" s="68"/>
      <c r="D247" s="69"/>
      <c r="E247" s="68"/>
      <c r="F247" s="68"/>
      <c r="G247" s="68"/>
      <c r="H247" s="44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72"/>
      <c r="V247" s="73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</row>
    <row r="248" spans="1:81" ht="15.75" x14ac:dyDescent="0.25">
      <c r="A248" s="68"/>
      <c r="B248" s="68"/>
      <c r="C248" s="68"/>
      <c r="D248" s="69"/>
      <c r="E248" s="68"/>
      <c r="F248" s="68"/>
      <c r="G248" s="68"/>
      <c r="H248" s="44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74"/>
      <c r="V248" s="75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</row>
    <row r="249" spans="1:81" ht="15.75" x14ac:dyDescent="0.25">
      <c r="A249" s="68"/>
      <c r="B249" s="68"/>
      <c r="C249" s="68"/>
      <c r="D249" s="69"/>
      <c r="E249" s="68"/>
      <c r="F249" s="68"/>
      <c r="G249" s="68"/>
      <c r="H249" s="70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76"/>
      <c r="V249" s="77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</row>
    <row r="250" spans="1:81" ht="15.75" x14ac:dyDescent="0.25">
      <c r="A250" s="68"/>
      <c r="B250" s="68"/>
      <c r="C250" s="68"/>
      <c r="D250" s="69"/>
      <c r="E250" s="68"/>
      <c r="F250" s="68"/>
      <c r="G250" s="68"/>
      <c r="H250" s="44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76"/>
      <c r="V250" s="77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</row>
    <row r="251" spans="1:81" ht="15.75" x14ac:dyDescent="0.25">
      <c r="A251" s="68"/>
      <c r="B251" s="68"/>
      <c r="C251" s="68"/>
      <c r="D251" s="69"/>
      <c r="E251" s="68"/>
      <c r="F251" s="68"/>
      <c r="G251" s="68"/>
      <c r="H251" s="70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</row>
    <row r="252" spans="1:81" ht="15.75" x14ac:dyDescent="0.25">
      <c r="A252" s="68"/>
      <c r="B252" s="68"/>
      <c r="C252" s="68"/>
      <c r="D252" s="69"/>
      <c r="E252" s="68"/>
      <c r="F252" s="68"/>
      <c r="G252" s="68"/>
      <c r="H252" s="70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</row>
    <row r="253" spans="1:81" ht="15.75" x14ac:dyDescent="0.25">
      <c r="A253" s="68"/>
      <c r="B253" s="68"/>
      <c r="C253" s="68"/>
      <c r="D253" s="69"/>
      <c r="E253" s="68"/>
      <c r="F253" s="68"/>
      <c r="G253" s="68"/>
      <c r="H253" s="70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</row>
    <row r="254" spans="1:81" ht="15.75" x14ac:dyDescent="0.25">
      <c r="A254" s="68"/>
      <c r="B254" s="68"/>
      <c r="C254" s="68"/>
      <c r="D254" s="69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</row>
    <row r="255" spans="1:81" ht="15.75" x14ac:dyDescent="0.25">
      <c r="A255" s="68"/>
      <c r="B255" s="68"/>
      <c r="C255" s="68"/>
      <c r="D255" s="69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</row>
    <row r="256" spans="1:81" ht="15.75" x14ac:dyDescent="0.25">
      <c r="A256" s="68"/>
      <c r="B256" s="68"/>
      <c r="C256" s="68"/>
      <c r="D256" s="69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</row>
    <row r="257" spans="1:81" ht="15.75" x14ac:dyDescent="0.25">
      <c r="A257" s="68"/>
      <c r="B257" s="68"/>
      <c r="C257" s="68"/>
      <c r="D257" s="69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</row>
    <row r="258" spans="1:81" ht="15.75" x14ac:dyDescent="0.25">
      <c r="A258" s="68"/>
      <c r="B258" s="68"/>
      <c r="C258" s="68"/>
      <c r="D258" s="69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</row>
    <row r="259" spans="1:81" ht="15.75" x14ac:dyDescent="0.25">
      <c r="A259" s="68"/>
      <c r="B259" s="68"/>
      <c r="C259" s="68"/>
      <c r="D259" s="69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</row>
    <row r="260" spans="1:81" ht="15.75" x14ac:dyDescent="0.25">
      <c r="A260" s="68"/>
      <c r="B260" s="68"/>
      <c r="C260" s="68"/>
      <c r="D260" s="69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</row>
    <row r="261" spans="1:81" ht="15.75" x14ac:dyDescent="0.25">
      <c r="A261" s="68"/>
      <c r="B261" s="68"/>
      <c r="C261" s="68"/>
      <c r="D261" s="69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</row>
    <row r="262" spans="1:81" ht="15.75" x14ac:dyDescent="0.25">
      <c r="A262" s="68"/>
      <c r="B262" s="68"/>
      <c r="C262" s="68"/>
      <c r="D262" s="69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</row>
    <row r="263" spans="1:81" ht="15.75" x14ac:dyDescent="0.25">
      <c r="A263" s="68"/>
      <c r="B263" s="68"/>
      <c r="C263" s="68"/>
      <c r="D263" s="69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</row>
    <row r="264" spans="1:81" ht="15.75" x14ac:dyDescent="0.25">
      <c r="A264" s="68"/>
      <c r="B264" s="68"/>
      <c r="C264" s="68"/>
      <c r="D264" s="69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</row>
    <row r="265" spans="1:81" ht="15.75" x14ac:dyDescent="0.25">
      <c r="A265" s="68"/>
      <c r="B265" s="68"/>
      <c r="C265" s="68"/>
      <c r="D265" s="69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</row>
    <row r="266" spans="1:81" ht="15.75" x14ac:dyDescent="0.25">
      <c r="A266" s="68"/>
      <c r="B266" s="68"/>
      <c r="C266" s="68"/>
      <c r="D266" s="69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</row>
    <row r="267" spans="1:81" ht="15.75" x14ac:dyDescent="0.25">
      <c r="A267" s="68"/>
      <c r="B267" s="68"/>
      <c r="C267" s="68"/>
      <c r="D267" s="69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</row>
    <row r="268" spans="1:81" ht="15.75" x14ac:dyDescent="0.25">
      <c r="A268" s="68"/>
      <c r="B268" s="68"/>
      <c r="C268" s="68"/>
      <c r="D268" s="69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</row>
    <row r="269" spans="1:81" ht="15.75" x14ac:dyDescent="0.25">
      <c r="A269" s="68"/>
      <c r="B269" s="68"/>
      <c r="C269" s="68"/>
      <c r="D269" s="69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</row>
    <row r="270" spans="1:81" ht="15.75" x14ac:dyDescent="0.25">
      <c r="A270" s="68"/>
      <c r="B270" s="68"/>
      <c r="C270" s="68"/>
      <c r="D270" s="69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</row>
    <row r="271" spans="1:81" ht="15.75" x14ac:dyDescent="0.25">
      <c r="A271" s="68"/>
      <c r="B271" s="68"/>
      <c r="C271" s="68"/>
      <c r="D271" s="69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</row>
    <row r="272" spans="1:81" ht="15.75" x14ac:dyDescent="0.25">
      <c r="A272" s="68"/>
      <c r="B272" s="68"/>
      <c r="C272" s="68"/>
      <c r="D272" s="69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</row>
    <row r="273" spans="1:81" ht="15.75" x14ac:dyDescent="0.25">
      <c r="A273" s="68"/>
      <c r="B273" s="68"/>
      <c r="C273" s="68"/>
      <c r="D273" s="69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</row>
    <row r="274" spans="1:81" ht="15.75" x14ac:dyDescent="0.25">
      <c r="A274" s="68"/>
      <c r="B274" s="68"/>
      <c r="C274" s="68"/>
      <c r="D274" s="69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</row>
    <row r="275" spans="1:81" ht="15.75" x14ac:dyDescent="0.25">
      <c r="A275" s="68"/>
      <c r="B275" s="68"/>
      <c r="C275" s="68"/>
      <c r="D275" s="69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</row>
    <row r="276" spans="1:81" ht="15.75" x14ac:dyDescent="0.25">
      <c r="A276" s="68"/>
      <c r="B276" s="68"/>
      <c r="C276" s="68"/>
      <c r="D276" s="69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</row>
    <row r="277" spans="1:81" ht="15.75" x14ac:dyDescent="0.25">
      <c r="A277" s="68"/>
      <c r="B277" s="68"/>
      <c r="C277" s="68"/>
      <c r="D277" s="69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</row>
    <row r="278" spans="1:81" ht="15.75" x14ac:dyDescent="0.25">
      <c r="A278" s="68"/>
      <c r="B278" s="68"/>
      <c r="C278" s="68"/>
      <c r="D278" s="69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</row>
    <row r="279" spans="1:81" ht="15.75" x14ac:dyDescent="0.25">
      <c r="A279" s="68"/>
      <c r="B279" s="68"/>
      <c r="C279" s="68"/>
      <c r="D279" s="69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</row>
    <row r="280" spans="1:81" ht="15.75" x14ac:dyDescent="0.25">
      <c r="A280" s="68"/>
      <c r="B280" s="68"/>
      <c r="C280" s="68"/>
      <c r="D280" s="69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</row>
    <row r="281" spans="1:81" ht="15.75" x14ac:dyDescent="0.25">
      <c r="A281" s="68"/>
      <c r="B281" s="68"/>
      <c r="C281" s="68"/>
      <c r="D281" s="69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</row>
    <row r="282" spans="1:81" ht="15.75" x14ac:dyDescent="0.25">
      <c r="A282" s="68"/>
      <c r="B282" s="68"/>
      <c r="C282" s="68"/>
      <c r="D282" s="69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</row>
    <row r="283" spans="1:81" ht="15.75" x14ac:dyDescent="0.25">
      <c r="A283" s="68"/>
      <c r="B283" s="68"/>
      <c r="C283" s="68"/>
      <c r="D283" s="69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</row>
    <row r="284" spans="1:81" ht="15.75" x14ac:dyDescent="0.25">
      <c r="A284" s="68"/>
      <c r="B284" s="68"/>
      <c r="C284" s="68"/>
      <c r="D284" s="69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</row>
    <row r="285" spans="1:81" ht="15.75" x14ac:dyDescent="0.25">
      <c r="A285" s="68"/>
      <c r="B285" s="68"/>
      <c r="C285" s="68"/>
      <c r="D285" s="69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</row>
    <row r="286" spans="1:81" ht="15.75" x14ac:dyDescent="0.25">
      <c r="A286" s="68"/>
      <c r="B286" s="68"/>
      <c r="C286" s="68"/>
      <c r="D286" s="69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</row>
    <row r="287" spans="1:81" ht="15.75" x14ac:dyDescent="0.25">
      <c r="A287" s="68"/>
      <c r="B287" s="68"/>
      <c r="C287" s="68"/>
      <c r="D287" s="69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</row>
    <row r="288" spans="1:81" ht="15.75" x14ac:dyDescent="0.25">
      <c r="A288" s="68"/>
      <c r="B288" s="68"/>
      <c r="C288" s="68"/>
      <c r="D288" s="69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</row>
    <row r="289" spans="1:81" ht="15.75" x14ac:dyDescent="0.25">
      <c r="A289" s="68"/>
      <c r="B289" s="68"/>
      <c r="C289" s="68"/>
      <c r="D289" s="69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</row>
    <row r="290" spans="1:81" ht="15.75" x14ac:dyDescent="0.25">
      <c r="A290" s="68"/>
      <c r="B290" s="68"/>
      <c r="C290" s="68"/>
      <c r="D290" s="69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</row>
    <row r="291" spans="1:81" ht="15.75" x14ac:dyDescent="0.25">
      <c r="A291" s="68"/>
      <c r="B291" s="68"/>
      <c r="C291" s="68"/>
      <c r="D291" s="69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</row>
    <row r="292" spans="1:81" ht="15.75" x14ac:dyDescent="0.25">
      <c r="A292" s="68"/>
      <c r="B292" s="68"/>
      <c r="C292" s="68"/>
      <c r="D292" s="69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</row>
    <row r="293" spans="1:81" ht="15.75" x14ac:dyDescent="0.25">
      <c r="A293" s="68"/>
      <c r="B293" s="68"/>
      <c r="C293" s="68"/>
      <c r="D293" s="69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</row>
    <row r="294" spans="1:81" ht="15.75" x14ac:dyDescent="0.25">
      <c r="A294" s="68"/>
      <c r="B294" s="68"/>
      <c r="C294" s="68"/>
      <c r="D294" s="69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</row>
    <row r="295" spans="1:81" ht="15.75" x14ac:dyDescent="0.25">
      <c r="A295" s="68"/>
      <c r="B295" s="68"/>
      <c r="C295" s="68"/>
      <c r="D295" s="69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</row>
    <row r="296" spans="1:81" ht="15.75" x14ac:dyDescent="0.25">
      <c r="A296" s="68"/>
      <c r="B296" s="68"/>
      <c r="C296" s="68"/>
      <c r="D296" s="69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</row>
    <row r="297" spans="1:81" ht="15.75" x14ac:dyDescent="0.25">
      <c r="A297" s="68"/>
      <c r="B297" s="68"/>
      <c r="C297" s="68"/>
      <c r="D297" s="69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</row>
    <row r="298" spans="1:81" ht="15.75" x14ac:dyDescent="0.25">
      <c r="A298" s="68"/>
      <c r="B298" s="68"/>
      <c r="C298" s="68"/>
      <c r="D298" s="69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</row>
    <row r="299" spans="1:81" ht="15.75" x14ac:dyDescent="0.25">
      <c r="A299" s="68"/>
      <c r="B299" s="68"/>
      <c r="C299" s="68"/>
      <c r="D299" s="69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</row>
    <row r="300" spans="1:81" ht="15.75" x14ac:dyDescent="0.25">
      <c r="A300" s="68"/>
      <c r="B300" s="68"/>
      <c r="C300" s="68"/>
      <c r="D300" s="69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</row>
    <row r="301" spans="1:81" ht="15.75" x14ac:dyDescent="0.25">
      <c r="A301" s="68"/>
      <c r="B301" s="68"/>
      <c r="C301" s="68"/>
      <c r="D301" s="69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</row>
    <row r="302" spans="1:81" ht="15.75" x14ac:dyDescent="0.25">
      <c r="A302" s="68"/>
      <c r="B302" s="68"/>
      <c r="C302" s="68"/>
      <c r="D302" s="69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</row>
    <row r="303" spans="1:81" ht="15.75" x14ac:dyDescent="0.25">
      <c r="A303" s="68"/>
      <c r="B303" s="68"/>
      <c r="C303" s="68"/>
      <c r="D303" s="69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</row>
    <row r="304" spans="1:81" ht="15.75" x14ac:dyDescent="0.25">
      <c r="A304" s="68"/>
      <c r="B304" s="68"/>
      <c r="C304" s="68"/>
      <c r="D304" s="69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</row>
    <row r="305" spans="1:81" ht="15.75" x14ac:dyDescent="0.25">
      <c r="A305" s="68"/>
      <c r="B305" s="68"/>
      <c r="C305" s="68"/>
      <c r="D305" s="69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</row>
    <row r="306" spans="1:81" ht="15.75" x14ac:dyDescent="0.25">
      <c r="A306" s="68"/>
      <c r="B306" s="68"/>
      <c r="C306" s="68"/>
      <c r="D306" s="69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</row>
    <row r="307" spans="1:81" ht="15.75" x14ac:dyDescent="0.25">
      <c r="A307" s="68"/>
      <c r="B307" s="68"/>
      <c r="C307" s="68"/>
      <c r="D307" s="69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</row>
    <row r="308" spans="1:81" ht="15.75" x14ac:dyDescent="0.25">
      <c r="A308" s="68"/>
      <c r="B308" s="68"/>
      <c r="C308" s="68"/>
      <c r="D308" s="69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</row>
    <row r="309" spans="1:81" ht="15.75" x14ac:dyDescent="0.25">
      <c r="A309" s="68"/>
      <c r="B309" s="68"/>
      <c r="C309" s="68"/>
      <c r="D309" s="69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</row>
    <row r="310" spans="1:81" ht="15.75" x14ac:dyDescent="0.25">
      <c r="A310" s="68"/>
      <c r="B310" s="68"/>
      <c r="C310" s="68"/>
      <c r="D310" s="69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</row>
    <row r="311" spans="1:81" ht="15.75" x14ac:dyDescent="0.25">
      <c r="A311" s="68"/>
      <c r="B311" s="68"/>
      <c r="C311" s="68"/>
      <c r="D311" s="69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</row>
    <row r="312" spans="1:81" ht="15.75" x14ac:dyDescent="0.25">
      <c r="A312" s="68"/>
      <c r="B312" s="68"/>
      <c r="C312" s="68"/>
      <c r="D312" s="69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</row>
    <row r="313" spans="1:81" ht="15.75" x14ac:dyDescent="0.25">
      <c r="A313" s="68"/>
      <c r="B313" s="68"/>
      <c r="C313" s="68"/>
      <c r="D313" s="69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</row>
    <row r="314" spans="1:81" ht="15.75" x14ac:dyDescent="0.25">
      <c r="A314" s="68"/>
      <c r="B314" s="68"/>
      <c r="C314" s="68"/>
      <c r="D314" s="69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</row>
    <row r="315" spans="1:81" ht="15.75" x14ac:dyDescent="0.25">
      <c r="A315" s="68"/>
      <c r="B315" s="68"/>
      <c r="C315" s="68"/>
      <c r="D315" s="69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</row>
    <row r="316" spans="1:81" ht="15.75" x14ac:dyDescent="0.25">
      <c r="A316" s="68"/>
      <c r="B316" s="68"/>
      <c r="C316" s="68"/>
      <c r="D316" s="69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</row>
    <row r="317" spans="1:81" ht="15.75" x14ac:dyDescent="0.25">
      <c r="A317" s="68"/>
      <c r="B317" s="68"/>
      <c r="C317" s="68"/>
      <c r="D317" s="69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</row>
    <row r="318" spans="1:81" ht="15.75" x14ac:dyDescent="0.25">
      <c r="A318" s="68"/>
      <c r="B318" s="68"/>
      <c r="C318" s="68"/>
      <c r="D318" s="69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</row>
    <row r="319" spans="1:81" ht="15.75" x14ac:dyDescent="0.25">
      <c r="A319" s="68"/>
      <c r="B319" s="68"/>
      <c r="C319" s="68"/>
      <c r="D319" s="69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</row>
    <row r="320" spans="1:81" ht="15.75" x14ac:dyDescent="0.25">
      <c r="A320" s="68"/>
      <c r="B320" s="68"/>
      <c r="C320" s="68"/>
      <c r="D320" s="69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</row>
    <row r="321" spans="1:81" ht="15.75" x14ac:dyDescent="0.25">
      <c r="A321" s="68"/>
      <c r="B321" s="68"/>
      <c r="C321" s="68"/>
      <c r="D321" s="69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</row>
    <row r="322" spans="1:81" ht="15.75" x14ac:dyDescent="0.25">
      <c r="A322" s="68"/>
      <c r="B322" s="68"/>
      <c r="C322" s="68"/>
      <c r="D322" s="69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</row>
    <row r="323" spans="1:81" ht="15.75" x14ac:dyDescent="0.25">
      <c r="A323" s="68"/>
      <c r="B323" s="68"/>
      <c r="C323" s="68"/>
      <c r="D323" s="69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</row>
    <row r="324" spans="1:81" ht="15.75" x14ac:dyDescent="0.25">
      <c r="A324" s="68"/>
      <c r="B324" s="68"/>
      <c r="C324" s="68"/>
      <c r="D324" s="69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</row>
    <row r="325" spans="1:81" ht="15.75" x14ac:dyDescent="0.25">
      <c r="A325" s="68"/>
      <c r="B325" s="68"/>
      <c r="C325" s="68"/>
      <c r="D325" s="69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</row>
    <row r="326" spans="1:81" ht="15.75" x14ac:dyDescent="0.25">
      <c r="A326" s="68"/>
      <c r="B326" s="68"/>
      <c r="C326" s="68"/>
      <c r="D326" s="69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</row>
    <row r="327" spans="1:81" ht="15.75" x14ac:dyDescent="0.25">
      <c r="A327" s="68"/>
      <c r="B327" s="68"/>
      <c r="C327" s="68"/>
      <c r="D327" s="69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</row>
    <row r="328" spans="1:81" ht="15.75" x14ac:dyDescent="0.25">
      <c r="A328" s="68"/>
      <c r="B328" s="68"/>
      <c r="C328" s="68"/>
      <c r="D328" s="69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</row>
    <row r="329" spans="1:81" ht="15.75" x14ac:dyDescent="0.25">
      <c r="A329" s="68"/>
      <c r="B329" s="68"/>
      <c r="C329" s="68"/>
      <c r="D329" s="69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</row>
    <row r="330" spans="1:81" ht="15.75" x14ac:dyDescent="0.25">
      <c r="A330" s="68"/>
      <c r="B330" s="68"/>
      <c r="C330" s="68"/>
      <c r="D330" s="69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</row>
    <row r="331" spans="1:81" ht="15.75" x14ac:dyDescent="0.25">
      <c r="A331" s="68"/>
      <c r="B331" s="68"/>
      <c r="C331" s="68"/>
      <c r="D331" s="69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</row>
    <row r="332" spans="1:81" ht="15.75" x14ac:dyDescent="0.25">
      <c r="A332" s="68"/>
      <c r="B332" s="68"/>
      <c r="C332" s="68"/>
      <c r="D332" s="69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</row>
    <row r="333" spans="1:81" ht="15.75" x14ac:dyDescent="0.25">
      <c r="A333" s="68"/>
      <c r="B333" s="68"/>
      <c r="C333" s="68"/>
      <c r="D333" s="69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</row>
    <row r="334" spans="1:81" ht="15.75" x14ac:dyDescent="0.25">
      <c r="A334" s="68"/>
      <c r="B334" s="68"/>
      <c r="C334" s="68"/>
      <c r="D334" s="69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</row>
    <row r="335" spans="1:81" ht="15.75" x14ac:dyDescent="0.25">
      <c r="A335" s="68"/>
      <c r="B335" s="68"/>
      <c r="C335" s="68"/>
      <c r="D335" s="69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</row>
    <row r="336" spans="1:81" ht="15.75" x14ac:dyDescent="0.25">
      <c r="A336" s="68"/>
      <c r="B336" s="68"/>
      <c r="C336" s="68"/>
      <c r="D336" s="69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</row>
    <row r="337" spans="1:81" ht="15.75" x14ac:dyDescent="0.25">
      <c r="A337" s="68"/>
      <c r="B337" s="68"/>
      <c r="C337" s="68"/>
      <c r="D337" s="69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</row>
    <row r="338" spans="1:81" ht="15.75" x14ac:dyDescent="0.25">
      <c r="A338" s="68"/>
      <c r="B338" s="68"/>
      <c r="C338" s="68"/>
      <c r="D338" s="69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</row>
    <row r="339" spans="1:81" ht="15.75" x14ac:dyDescent="0.25">
      <c r="A339" s="68"/>
      <c r="B339" s="68"/>
      <c r="C339" s="68"/>
      <c r="D339" s="69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</row>
    <row r="340" spans="1:81" ht="15.75" x14ac:dyDescent="0.25">
      <c r="A340" s="68"/>
      <c r="B340" s="68"/>
      <c r="C340" s="68"/>
      <c r="D340" s="69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</row>
    <row r="341" spans="1:81" ht="15.75" x14ac:dyDescent="0.25">
      <c r="A341" s="68"/>
      <c r="B341" s="68"/>
      <c r="C341" s="68"/>
      <c r="D341" s="69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</row>
    <row r="342" spans="1:81" ht="15.75" x14ac:dyDescent="0.25">
      <c r="A342" s="68"/>
      <c r="B342" s="68"/>
      <c r="C342" s="68"/>
      <c r="D342" s="69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</row>
    <row r="343" spans="1:81" ht="15.75" x14ac:dyDescent="0.25">
      <c r="A343" s="68"/>
      <c r="B343" s="68"/>
      <c r="C343" s="68"/>
      <c r="D343" s="69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</row>
    <row r="344" spans="1:81" ht="15.75" x14ac:dyDescent="0.25">
      <c r="A344" s="68"/>
      <c r="B344" s="68"/>
      <c r="C344" s="68"/>
      <c r="D344" s="69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</row>
    <row r="345" spans="1:81" ht="15.75" x14ac:dyDescent="0.25">
      <c r="A345" s="68"/>
      <c r="B345" s="68"/>
      <c r="C345" s="68"/>
      <c r="D345" s="69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</row>
    <row r="346" spans="1:81" ht="15.75" x14ac:dyDescent="0.25">
      <c r="A346" s="68"/>
      <c r="B346" s="68"/>
      <c r="C346" s="68"/>
      <c r="D346" s="69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</row>
    <row r="347" spans="1:81" ht="15.75" x14ac:dyDescent="0.25">
      <c r="A347" s="68"/>
      <c r="B347" s="68"/>
      <c r="C347" s="68"/>
      <c r="D347" s="69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</row>
    <row r="348" spans="1:81" ht="15.75" x14ac:dyDescent="0.25">
      <c r="A348" s="68"/>
      <c r="B348" s="68"/>
      <c r="C348" s="68"/>
      <c r="D348" s="69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</row>
    <row r="349" spans="1:81" ht="15.75" x14ac:dyDescent="0.25">
      <c r="A349" s="68"/>
      <c r="B349" s="68"/>
      <c r="C349" s="68"/>
      <c r="D349" s="69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</row>
    <row r="350" spans="1:81" ht="15.75" x14ac:dyDescent="0.25">
      <c r="A350" s="68"/>
      <c r="B350" s="68"/>
      <c r="C350" s="68"/>
      <c r="D350" s="69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</row>
    <row r="351" spans="1:81" ht="15.75" x14ac:dyDescent="0.25">
      <c r="A351" s="68"/>
      <c r="B351" s="68"/>
      <c r="C351" s="68"/>
      <c r="D351" s="69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</row>
    <row r="352" spans="1:81" ht="15.75" x14ac:dyDescent="0.25">
      <c r="A352" s="68"/>
      <c r="B352" s="68"/>
      <c r="C352" s="68"/>
      <c r="D352" s="69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</row>
    <row r="353" spans="1:81" ht="15.75" x14ac:dyDescent="0.25">
      <c r="A353" s="68"/>
      <c r="B353" s="68"/>
      <c r="C353" s="68"/>
      <c r="D353" s="69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</row>
    <row r="354" spans="1:81" ht="15.75" x14ac:dyDescent="0.25">
      <c r="A354" s="68"/>
      <c r="B354" s="68"/>
      <c r="C354" s="68"/>
      <c r="D354" s="69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</row>
    <row r="355" spans="1:81" ht="15.75" x14ac:dyDescent="0.25">
      <c r="A355" s="68"/>
      <c r="B355" s="68"/>
      <c r="C355" s="68"/>
      <c r="D355" s="69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</row>
    <row r="356" spans="1:81" ht="15.75" x14ac:dyDescent="0.25">
      <c r="A356" s="68"/>
      <c r="B356" s="68"/>
      <c r="C356" s="68"/>
      <c r="D356" s="69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</row>
    <row r="357" spans="1:81" ht="15.75" x14ac:dyDescent="0.25">
      <c r="A357" s="68"/>
      <c r="B357" s="68"/>
      <c r="C357" s="68"/>
      <c r="D357" s="69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</row>
    <row r="358" spans="1:81" ht="15.75" x14ac:dyDescent="0.25">
      <c r="A358" s="68"/>
      <c r="B358" s="68"/>
      <c r="C358" s="68"/>
      <c r="D358" s="69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</row>
    <row r="359" spans="1:81" ht="15.75" x14ac:dyDescent="0.25">
      <c r="A359" s="68"/>
      <c r="B359" s="68"/>
      <c r="C359" s="68"/>
      <c r="D359" s="69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</row>
    <row r="360" spans="1:81" ht="15.75" x14ac:dyDescent="0.25">
      <c r="A360" s="68"/>
      <c r="B360" s="68"/>
      <c r="C360" s="68"/>
      <c r="D360" s="69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</row>
    <row r="361" spans="1:81" ht="15.75" x14ac:dyDescent="0.25">
      <c r="A361" s="68"/>
      <c r="B361" s="68"/>
      <c r="C361" s="68"/>
      <c r="D361" s="69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</row>
    <row r="362" spans="1:81" ht="15.75" x14ac:dyDescent="0.25">
      <c r="A362" s="68"/>
      <c r="B362" s="68"/>
      <c r="C362" s="68"/>
      <c r="D362" s="69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</row>
    <row r="363" spans="1:81" ht="15.75" x14ac:dyDescent="0.25">
      <c r="A363" s="68"/>
      <c r="B363" s="68"/>
      <c r="C363" s="68"/>
      <c r="D363" s="69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</row>
    <row r="364" spans="1:81" ht="15.75" x14ac:dyDescent="0.25">
      <c r="A364" s="68"/>
      <c r="B364" s="68"/>
      <c r="C364" s="68"/>
      <c r="D364" s="69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</row>
    <row r="365" spans="1:81" ht="15.75" x14ac:dyDescent="0.25">
      <c r="A365" s="68"/>
      <c r="B365" s="68"/>
      <c r="C365" s="68"/>
      <c r="D365" s="69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</row>
    <row r="366" spans="1:81" ht="15.75" x14ac:dyDescent="0.25">
      <c r="A366" s="68"/>
      <c r="B366" s="68"/>
      <c r="C366" s="68"/>
      <c r="D366" s="69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  <c r="BZ366" s="68"/>
      <c r="CA366" s="68"/>
      <c r="CB366" s="68"/>
      <c r="CC366" s="68"/>
    </row>
    <row r="367" spans="1:81" ht="15.75" x14ac:dyDescent="0.25">
      <c r="A367" s="68"/>
      <c r="B367" s="68"/>
      <c r="C367" s="68"/>
      <c r="D367" s="69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</row>
    <row r="368" spans="1:81" ht="15.75" x14ac:dyDescent="0.25">
      <c r="A368" s="68"/>
      <c r="B368" s="68"/>
      <c r="C368" s="68"/>
      <c r="D368" s="69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</row>
    <row r="369" spans="1:81" ht="15.75" x14ac:dyDescent="0.25">
      <c r="A369" s="68"/>
      <c r="B369" s="68"/>
      <c r="C369" s="68"/>
      <c r="D369" s="69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</row>
    <row r="370" spans="1:81" ht="15.75" x14ac:dyDescent="0.25">
      <c r="A370" s="68"/>
      <c r="B370" s="68"/>
      <c r="C370" s="68"/>
      <c r="D370" s="69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</row>
    <row r="371" spans="1:81" ht="15.75" x14ac:dyDescent="0.25">
      <c r="A371" s="68"/>
      <c r="B371" s="68"/>
      <c r="C371" s="68"/>
      <c r="D371" s="69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</row>
    <row r="372" spans="1:81" ht="15.75" x14ac:dyDescent="0.25">
      <c r="A372" s="68"/>
      <c r="B372" s="68"/>
      <c r="C372" s="68"/>
      <c r="D372" s="69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</row>
    <row r="373" spans="1:81" ht="15.75" x14ac:dyDescent="0.25">
      <c r="A373" s="68"/>
      <c r="B373" s="68"/>
      <c r="C373" s="68"/>
      <c r="D373" s="69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</row>
    <row r="374" spans="1:81" ht="15.75" x14ac:dyDescent="0.25">
      <c r="A374" s="68"/>
      <c r="B374" s="68"/>
      <c r="C374" s="68"/>
      <c r="D374" s="69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</row>
    <row r="375" spans="1:81" ht="15.75" x14ac:dyDescent="0.25">
      <c r="A375" s="68"/>
      <c r="B375" s="68"/>
      <c r="C375" s="68"/>
      <c r="D375" s="69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</row>
    <row r="376" spans="1:81" ht="15.75" x14ac:dyDescent="0.25">
      <c r="A376" s="68"/>
      <c r="B376" s="68"/>
      <c r="C376" s="68"/>
      <c r="D376" s="69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</row>
    <row r="377" spans="1:81" ht="15.75" x14ac:dyDescent="0.25">
      <c r="A377" s="68"/>
      <c r="B377" s="68"/>
      <c r="C377" s="68"/>
      <c r="D377" s="69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</row>
    <row r="378" spans="1:81" ht="15.75" x14ac:dyDescent="0.25">
      <c r="A378" s="68"/>
      <c r="B378" s="68"/>
      <c r="C378" s="68"/>
      <c r="D378" s="69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</row>
    <row r="379" spans="1:81" ht="15.75" x14ac:dyDescent="0.25">
      <c r="A379" s="68"/>
      <c r="B379" s="68"/>
      <c r="C379" s="68"/>
      <c r="D379" s="69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</row>
    <row r="380" spans="1:81" ht="15.75" x14ac:dyDescent="0.25">
      <c r="A380" s="68"/>
      <c r="B380" s="68"/>
      <c r="C380" s="68"/>
      <c r="D380" s="69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</row>
    <row r="381" spans="1:81" ht="15.75" x14ac:dyDescent="0.25">
      <c r="A381" s="68"/>
      <c r="B381" s="68"/>
      <c r="C381" s="68"/>
      <c r="D381" s="69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</row>
    <row r="382" spans="1:81" ht="15.75" x14ac:dyDescent="0.25">
      <c r="A382" s="68"/>
      <c r="B382" s="68"/>
      <c r="C382" s="68"/>
      <c r="D382" s="69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</row>
    <row r="383" spans="1:81" ht="15.75" x14ac:dyDescent="0.25">
      <c r="A383" s="68"/>
      <c r="B383" s="68"/>
      <c r="C383" s="68"/>
      <c r="D383" s="69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</row>
    <row r="384" spans="1:81" ht="15.75" x14ac:dyDescent="0.25">
      <c r="A384" s="68"/>
      <c r="B384" s="68"/>
      <c r="C384" s="68"/>
      <c r="D384" s="69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</row>
    <row r="385" spans="1:81" ht="15.75" x14ac:dyDescent="0.25">
      <c r="A385" s="68"/>
      <c r="B385" s="68"/>
      <c r="C385" s="68"/>
      <c r="D385" s="69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</row>
    <row r="386" spans="1:81" ht="15.75" x14ac:dyDescent="0.25">
      <c r="A386" s="68"/>
      <c r="B386" s="68"/>
      <c r="C386" s="68"/>
      <c r="D386" s="69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</row>
    <row r="387" spans="1:81" ht="15.75" x14ac:dyDescent="0.25">
      <c r="A387" s="68"/>
      <c r="B387" s="68"/>
      <c r="C387" s="68"/>
      <c r="D387" s="69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</row>
    <row r="388" spans="1:81" ht="15.75" x14ac:dyDescent="0.25">
      <c r="A388" s="68"/>
      <c r="B388" s="68"/>
      <c r="C388" s="68"/>
      <c r="D388" s="69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</row>
    <row r="389" spans="1:81" ht="15.75" x14ac:dyDescent="0.25">
      <c r="A389" s="68"/>
      <c r="B389" s="68"/>
      <c r="C389" s="68"/>
      <c r="D389" s="69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</row>
    <row r="390" spans="1:81" ht="15.75" x14ac:dyDescent="0.25">
      <c r="A390" s="68"/>
      <c r="B390" s="68"/>
      <c r="C390" s="68"/>
      <c r="D390" s="69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</row>
    <row r="391" spans="1:81" ht="15.75" x14ac:dyDescent="0.25">
      <c r="A391" s="68"/>
      <c r="B391" s="68"/>
      <c r="C391" s="68"/>
      <c r="D391" s="69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</row>
    <row r="392" spans="1:81" ht="15.75" x14ac:dyDescent="0.25">
      <c r="A392" s="68"/>
      <c r="B392" s="68"/>
      <c r="C392" s="68"/>
      <c r="D392" s="69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</row>
    <row r="393" spans="1:81" ht="15.75" x14ac:dyDescent="0.25">
      <c r="A393" s="68"/>
      <c r="B393" s="68"/>
      <c r="C393" s="68"/>
      <c r="D393" s="69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</row>
    <row r="394" spans="1:81" ht="15.75" x14ac:dyDescent="0.25">
      <c r="A394" s="68"/>
      <c r="B394" s="68"/>
      <c r="C394" s="68"/>
      <c r="D394" s="69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</row>
    <row r="395" spans="1:81" ht="15.75" x14ac:dyDescent="0.25">
      <c r="A395" s="68"/>
      <c r="B395" s="68"/>
      <c r="C395" s="68"/>
      <c r="D395" s="69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</row>
    <row r="396" spans="1:81" ht="15.75" x14ac:dyDescent="0.25">
      <c r="A396" s="68"/>
      <c r="B396" s="68"/>
      <c r="C396" s="68"/>
      <c r="D396" s="69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</row>
    <row r="397" spans="1:81" ht="15.75" x14ac:dyDescent="0.25">
      <c r="A397" s="68"/>
      <c r="B397" s="68"/>
      <c r="C397" s="68"/>
      <c r="D397" s="69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</row>
    <row r="398" spans="1:81" ht="15.75" x14ac:dyDescent="0.25">
      <c r="A398" s="68"/>
      <c r="B398" s="68"/>
      <c r="C398" s="68"/>
      <c r="D398" s="69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</row>
    <row r="399" spans="1:81" ht="15.75" x14ac:dyDescent="0.25">
      <c r="A399" s="68"/>
      <c r="B399" s="68"/>
      <c r="C399" s="68"/>
      <c r="D399" s="69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</row>
    <row r="400" spans="1:81" ht="15.75" x14ac:dyDescent="0.25">
      <c r="A400" s="68"/>
      <c r="B400" s="68"/>
      <c r="C400" s="68"/>
      <c r="D400" s="69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</row>
    <row r="401" spans="1:81" ht="15.75" x14ac:dyDescent="0.25">
      <c r="A401" s="68"/>
      <c r="B401" s="68"/>
      <c r="C401" s="68"/>
      <c r="D401" s="69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</row>
    <row r="402" spans="1:81" ht="15.75" x14ac:dyDescent="0.25">
      <c r="A402" s="68"/>
      <c r="B402" s="68"/>
      <c r="C402" s="68"/>
      <c r="D402" s="69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</row>
    <row r="403" spans="1:81" ht="15.75" x14ac:dyDescent="0.25">
      <c r="A403" s="68"/>
      <c r="B403" s="68"/>
      <c r="C403" s="68"/>
      <c r="D403" s="69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</row>
    <row r="404" spans="1:81" ht="15.75" x14ac:dyDescent="0.25">
      <c r="A404" s="68"/>
      <c r="B404" s="68"/>
      <c r="C404" s="68"/>
      <c r="D404" s="69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</row>
    <row r="405" spans="1:81" ht="15.75" x14ac:dyDescent="0.25">
      <c r="A405" s="68"/>
      <c r="B405" s="68"/>
      <c r="C405" s="68"/>
      <c r="D405" s="69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</row>
    <row r="406" spans="1:81" ht="15.75" x14ac:dyDescent="0.25">
      <c r="A406" s="68"/>
      <c r="B406" s="68"/>
      <c r="C406" s="68"/>
      <c r="D406" s="69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</row>
    <row r="407" spans="1:81" ht="15.75" x14ac:dyDescent="0.25">
      <c r="A407" s="68"/>
      <c r="B407" s="68"/>
      <c r="C407" s="68"/>
      <c r="D407" s="69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</row>
    <row r="408" spans="1:81" ht="15.75" x14ac:dyDescent="0.25">
      <c r="A408" s="68"/>
      <c r="B408" s="68"/>
      <c r="C408" s="68"/>
      <c r="D408" s="69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</row>
    <row r="409" spans="1:81" ht="15.75" x14ac:dyDescent="0.25">
      <c r="A409" s="68"/>
      <c r="B409" s="68"/>
      <c r="C409" s="68"/>
      <c r="D409" s="69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</row>
    <row r="410" spans="1:81" ht="15.75" x14ac:dyDescent="0.25">
      <c r="A410" s="68"/>
      <c r="B410" s="68"/>
      <c r="C410" s="68"/>
      <c r="D410" s="69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</row>
    <row r="411" spans="1:81" ht="15.75" x14ac:dyDescent="0.25">
      <c r="A411" s="68"/>
      <c r="B411" s="68"/>
      <c r="C411" s="68"/>
      <c r="D411" s="69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  <c r="BZ411" s="68"/>
      <c r="CA411" s="68"/>
      <c r="CB411" s="68"/>
      <c r="CC411" s="68"/>
    </row>
    <row r="412" spans="1:81" ht="15.75" x14ac:dyDescent="0.25">
      <c r="A412" s="68"/>
      <c r="B412" s="68"/>
      <c r="C412" s="68"/>
      <c r="D412" s="69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68"/>
      <c r="CB412" s="68"/>
      <c r="CC412" s="68"/>
    </row>
    <row r="413" spans="1:81" ht="15.75" x14ac:dyDescent="0.25">
      <c r="A413" s="68"/>
      <c r="B413" s="68"/>
      <c r="C413" s="68"/>
      <c r="D413" s="69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  <c r="BZ413" s="68"/>
      <c r="CA413" s="68"/>
      <c r="CB413" s="68"/>
      <c r="CC413" s="68"/>
    </row>
    <row r="414" spans="1:81" ht="15.75" x14ac:dyDescent="0.25">
      <c r="A414" s="68"/>
      <c r="B414" s="68"/>
      <c r="C414" s="68"/>
      <c r="D414" s="69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68"/>
      <c r="CB414" s="68"/>
      <c r="CC414" s="68"/>
    </row>
    <row r="415" spans="1:81" ht="15.75" x14ac:dyDescent="0.25">
      <c r="A415" s="68"/>
      <c r="B415" s="68"/>
      <c r="C415" s="68"/>
      <c r="D415" s="69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</row>
    <row r="416" spans="1:81" ht="15.75" x14ac:dyDescent="0.25">
      <c r="A416" s="68"/>
      <c r="B416" s="68"/>
      <c r="C416" s="68"/>
      <c r="D416" s="69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</row>
    <row r="417" spans="1:81" ht="15.75" x14ac:dyDescent="0.25">
      <c r="A417" s="68"/>
      <c r="B417" s="68"/>
      <c r="C417" s="68"/>
      <c r="D417" s="69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  <c r="BZ417" s="68"/>
      <c r="CA417" s="68"/>
      <c r="CB417" s="68"/>
      <c r="CC417" s="68"/>
    </row>
    <row r="418" spans="1:81" ht="15.75" x14ac:dyDescent="0.25">
      <c r="A418" s="68"/>
      <c r="B418" s="68"/>
      <c r="C418" s="68"/>
      <c r="D418" s="69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  <c r="BZ418" s="68"/>
      <c r="CA418" s="68"/>
      <c r="CB418" s="68"/>
      <c r="CC418" s="68"/>
    </row>
    <row r="419" spans="1:81" ht="15.75" x14ac:dyDescent="0.25">
      <c r="A419" s="68"/>
      <c r="B419" s="68"/>
      <c r="C419" s="68"/>
      <c r="D419" s="69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  <c r="BZ419" s="68"/>
      <c r="CA419" s="68"/>
      <c r="CB419" s="68"/>
      <c r="CC419" s="68"/>
    </row>
    <row r="420" spans="1:81" ht="15.75" x14ac:dyDescent="0.25">
      <c r="A420" s="68"/>
      <c r="B420" s="68"/>
      <c r="C420" s="68"/>
      <c r="D420" s="69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  <c r="BZ420" s="68"/>
      <c r="CA420" s="68"/>
      <c r="CB420" s="68"/>
      <c r="CC420" s="68"/>
    </row>
    <row r="421" spans="1:81" ht="15.75" x14ac:dyDescent="0.25">
      <c r="A421" s="68"/>
      <c r="B421" s="68"/>
      <c r="C421" s="68"/>
      <c r="D421" s="69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  <c r="BZ421" s="68"/>
      <c r="CA421" s="68"/>
      <c r="CB421" s="68"/>
      <c r="CC421" s="68"/>
    </row>
    <row r="422" spans="1:81" ht="15.75" x14ac:dyDescent="0.25">
      <c r="A422" s="68"/>
      <c r="B422" s="68"/>
      <c r="C422" s="68"/>
      <c r="D422" s="69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  <c r="BZ422" s="68"/>
      <c r="CA422" s="68"/>
      <c r="CB422" s="68"/>
      <c r="CC422" s="68"/>
    </row>
    <row r="423" spans="1:81" ht="15.75" x14ac:dyDescent="0.25">
      <c r="A423" s="68"/>
      <c r="B423" s="68"/>
      <c r="C423" s="68"/>
      <c r="D423" s="69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  <c r="BZ423" s="68"/>
      <c r="CA423" s="68"/>
      <c r="CB423" s="68"/>
      <c r="CC423" s="68"/>
    </row>
    <row r="424" spans="1:81" ht="15.75" x14ac:dyDescent="0.25">
      <c r="A424" s="68"/>
      <c r="B424" s="68"/>
      <c r="C424" s="68"/>
      <c r="D424" s="69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  <c r="BZ424" s="68"/>
      <c r="CA424" s="68"/>
      <c r="CB424" s="68"/>
      <c r="CC424" s="68"/>
    </row>
    <row r="425" spans="1:81" ht="15.75" x14ac:dyDescent="0.25">
      <c r="A425" s="68"/>
      <c r="B425" s="68"/>
      <c r="C425" s="68"/>
      <c r="D425" s="69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  <c r="BZ425" s="68"/>
      <c r="CA425" s="68"/>
      <c r="CB425" s="68"/>
      <c r="CC425" s="68"/>
    </row>
    <row r="426" spans="1:81" ht="15.75" x14ac:dyDescent="0.25">
      <c r="A426" s="68"/>
      <c r="B426" s="68"/>
      <c r="C426" s="68"/>
      <c r="D426" s="69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  <c r="BZ426" s="68"/>
      <c r="CA426" s="68"/>
      <c r="CB426" s="68"/>
      <c r="CC426" s="68"/>
    </row>
    <row r="427" spans="1:81" ht="15.75" x14ac:dyDescent="0.25">
      <c r="A427" s="68"/>
      <c r="B427" s="68"/>
      <c r="C427" s="68"/>
      <c r="D427" s="69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  <c r="BZ427" s="68"/>
      <c r="CA427" s="68"/>
      <c r="CB427" s="68"/>
      <c r="CC427" s="68"/>
    </row>
    <row r="428" spans="1:81" ht="15.75" x14ac:dyDescent="0.25">
      <c r="A428" s="68"/>
      <c r="B428" s="68"/>
      <c r="C428" s="68"/>
      <c r="D428" s="69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68"/>
      <c r="CB428" s="68"/>
      <c r="CC428" s="68"/>
    </row>
    <row r="429" spans="1:81" ht="15.75" x14ac:dyDescent="0.25">
      <c r="A429" s="68"/>
      <c r="B429" s="68"/>
      <c r="C429" s="68"/>
      <c r="D429" s="69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</row>
    <row r="430" spans="1:81" ht="15.75" x14ac:dyDescent="0.25">
      <c r="A430" s="68"/>
      <c r="B430" s="68"/>
      <c r="C430" s="68"/>
      <c r="D430" s="69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</row>
    <row r="431" spans="1:81" ht="15.75" x14ac:dyDescent="0.25">
      <c r="A431" s="68"/>
      <c r="B431" s="68"/>
      <c r="C431" s="68"/>
      <c r="D431" s="69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</row>
    <row r="432" spans="1:81" ht="15.75" x14ac:dyDescent="0.25">
      <c r="A432" s="68"/>
      <c r="B432" s="68"/>
      <c r="C432" s="68"/>
      <c r="D432" s="69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</row>
    <row r="433" spans="1:81" ht="15.75" x14ac:dyDescent="0.25">
      <c r="A433" s="68"/>
      <c r="B433" s="68"/>
      <c r="C433" s="68"/>
      <c r="D433" s="69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  <c r="BZ433" s="68"/>
      <c r="CA433" s="68"/>
      <c r="CB433" s="68"/>
      <c r="CC433" s="68"/>
    </row>
    <row r="434" spans="1:81" ht="15.75" x14ac:dyDescent="0.25">
      <c r="A434" s="68"/>
      <c r="B434" s="68"/>
      <c r="C434" s="68"/>
      <c r="D434" s="69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68"/>
      <c r="CB434" s="68"/>
      <c r="CC434" s="68"/>
    </row>
    <row r="435" spans="1:81" ht="15.75" x14ac:dyDescent="0.25">
      <c r="A435" s="68"/>
      <c r="B435" s="68"/>
      <c r="C435" s="68"/>
      <c r="D435" s="69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  <c r="BZ435" s="68"/>
      <c r="CA435" s="68"/>
      <c r="CB435" s="68"/>
      <c r="CC435" s="68"/>
    </row>
    <row r="436" spans="1:81" ht="15.75" x14ac:dyDescent="0.25">
      <c r="A436" s="68"/>
      <c r="B436" s="68"/>
      <c r="C436" s="68"/>
      <c r="D436" s="69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  <c r="BZ436" s="68"/>
      <c r="CA436" s="68"/>
      <c r="CB436" s="68"/>
      <c r="CC436" s="68"/>
    </row>
    <row r="437" spans="1:81" ht="15.75" x14ac:dyDescent="0.25">
      <c r="A437" s="68"/>
      <c r="B437" s="68"/>
      <c r="C437" s="68"/>
      <c r="D437" s="69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  <c r="BZ437" s="68"/>
      <c r="CA437" s="68"/>
      <c r="CB437" s="68"/>
      <c r="CC437" s="68"/>
    </row>
    <row r="438" spans="1:81" ht="15.75" x14ac:dyDescent="0.25">
      <c r="A438" s="68"/>
      <c r="B438" s="68"/>
      <c r="C438" s="68"/>
      <c r="D438" s="69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  <c r="BZ438" s="68"/>
      <c r="CA438" s="68"/>
      <c r="CB438" s="68"/>
      <c r="CC438" s="68"/>
    </row>
    <row r="439" spans="1:81" ht="15.75" x14ac:dyDescent="0.25">
      <c r="A439" s="68"/>
      <c r="B439" s="68"/>
      <c r="C439" s="68"/>
      <c r="D439" s="69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  <c r="BZ439" s="68"/>
      <c r="CA439" s="68"/>
      <c r="CB439" s="68"/>
      <c r="CC439" s="68"/>
    </row>
    <row r="440" spans="1:81" ht="15.75" x14ac:dyDescent="0.25">
      <c r="A440" s="68"/>
      <c r="B440" s="68"/>
      <c r="C440" s="68"/>
      <c r="D440" s="69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  <c r="BZ440" s="68"/>
      <c r="CA440" s="68"/>
      <c r="CB440" s="68"/>
      <c r="CC440" s="68"/>
    </row>
    <row r="441" spans="1:81" ht="15.75" x14ac:dyDescent="0.25">
      <c r="A441" s="68"/>
      <c r="B441" s="68"/>
      <c r="C441" s="68"/>
      <c r="D441" s="69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  <c r="BZ441" s="68"/>
      <c r="CA441" s="68"/>
      <c r="CB441" s="68"/>
      <c r="CC441" s="68"/>
    </row>
    <row r="442" spans="1:81" ht="15.75" x14ac:dyDescent="0.25">
      <c r="A442" s="68"/>
      <c r="B442" s="68"/>
      <c r="C442" s="68"/>
      <c r="D442" s="69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  <c r="BZ442" s="68"/>
      <c r="CA442" s="68"/>
      <c r="CB442" s="68"/>
      <c r="CC442" s="68"/>
    </row>
    <row r="443" spans="1:81" ht="15.75" x14ac:dyDescent="0.25">
      <c r="A443" s="68"/>
      <c r="B443" s="68"/>
      <c r="C443" s="68"/>
      <c r="D443" s="69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  <c r="BZ443" s="68"/>
      <c r="CA443" s="68"/>
      <c r="CB443" s="68"/>
      <c r="CC443" s="68"/>
    </row>
    <row r="444" spans="1:81" ht="15.75" x14ac:dyDescent="0.25">
      <c r="A444" s="68"/>
      <c r="B444" s="68"/>
      <c r="C444" s="68"/>
      <c r="D444" s="69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68"/>
      <c r="CB444" s="68"/>
      <c r="CC444" s="68"/>
    </row>
    <row r="445" spans="1:81" ht="15.75" x14ac:dyDescent="0.25">
      <c r="A445" s="68"/>
      <c r="B445" s="68"/>
      <c r="C445" s="68"/>
      <c r="D445" s="69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  <c r="BZ445" s="68"/>
      <c r="CA445" s="68"/>
      <c r="CB445" s="68"/>
      <c r="CC445" s="68"/>
    </row>
    <row r="446" spans="1:81" ht="15.75" x14ac:dyDescent="0.25">
      <c r="A446" s="68"/>
      <c r="B446" s="68"/>
      <c r="C446" s="68"/>
      <c r="D446" s="69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  <c r="BZ446" s="68"/>
      <c r="CA446" s="68"/>
      <c r="CB446" s="68"/>
      <c r="CC446" s="68"/>
    </row>
    <row r="447" spans="1:81" ht="15.75" x14ac:dyDescent="0.25">
      <c r="A447" s="68"/>
      <c r="B447" s="68"/>
      <c r="C447" s="68"/>
      <c r="D447" s="69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  <c r="BZ447" s="68"/>
      <c r="CA447" s="68"/>
      <c r="CB447" s="68"/>
      <c r="CC447" s="68"/>
    </row>
    <row r="448" spans="1:81" ht="15.75" x14ac:dyDescent="0.25">
      <c r="A448" s="68"/>
      <c r="B448" s="68"/>
      <c r="C448" s="68"/>
      <c r="D448" s="69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68"/>
      <c r="CB448" s="68"/>
      <c r="CC448" s="68"/>
    </row>
    <row r="449" spans="1:81" ht="15.75" x14ac:dyDescent="0.25">
      <c r="A449" s="68"/>
      <c r="B449" s="68"/>
      <c r="C449" s="68"/>
      <c r="D449" s="69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  <c r="BZ449" s="68"/>
      <c r="CA449" s="68"/>
      <c r="CB449" s="68"/>
      <c r="CC449" s="68"/>
    </row>
    <row r="450" spans="1:81" ht="15.75" x14ac:dyDescent="0.25">
      <c r="A450" s="68"/>
      <c r="B450" s="68"/>
      <c r="C450" s="68"/>
      <c r="D450" s="69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  <c r="BZ450" s="68"/>
      <c r="CA450" s="68"/>
      <c r="CB450" s="68"/>
      <c r="CC450" s="68"/>
    </row>
    <row r="451" spans="1:81" ht="15.75" x14ac:dyDescent="0.25">
      <c r="A451" s="68"/>
      <c r="B451" s="68"/>
      <c r="C451" s="68"/>
      <c r="D451" s="69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  <c r="BZ451" s="68"/>
      <c r="CA451" s="68"/>
      <c r="CB451" s="68"/>
      <c r="CC451" s="68"/>
    </row>
    <row r="452" spans="1:81" ht="15.75" x14ac:dyDescent="0.25">
      <c r="A452" s="68"/>
      <c r="B452" s="68"/>
      <c r="C452" s="68"/>
      <c r="D452" s="69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  <c r="BZ452" s="68"/>
      <c r="CA452" s="68"/>
      <c r="CB452" s="68"/>
      <c r="CC452" s="68"/>
    </row>
    <row r="453" spans="1:81" ht="15.75" x14ac:dyDescent="0.25">
      <c r="A453" s="68"/>
      <c r="B453" s="68"/>
      <c r="C453" s="68"/>
      <c r="D453" s="69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  <c r="BZ453" s="68"/>
      <c r="CA453" s="68"/>
      <c r="CB453" s="68"/>
      <c r="CC453" s="68"/>
    </row>
    <row r="454" spans="1:81" ht="15.75" x14ac:dyDescent="0.25">
      <c r="A454" s="68"/>
      <c r="B454" s="68"/>
      <c r="C454" s="68"/>
      <c r="D454" s="69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  <c r="BZ454" s="68"/>
      <c r="CA454" s="68"/>
      <c r="CB454" s="68"/>
      <c r="CC454" s="68"/>
    </row>
    <row r="455" spans="1:81" ht="15.75" x14ac:dyDescent="0.25">
      <c r="A455" s="68"/>
      <c r="B455" s="68"/>
      <c r="C455" s="68"/>
      <c r="D455" s="69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  <c r="BZ455" s="68"/>
      <c r="CA455" s="68"/>
      <c r="CB455" s="68"/>
      <c r="CC455" s="68"/>
    </row>
    <row r="456" spans="1:81" ht="15.75" x14ac:dyDescent="0.25">
      <c r="A456" s="68"/>
      <c r="B456" s="68"/>
      <c r="C456" s="68"/>
      <c r="D456" s="69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  <c r="BZ456" s="68"/>
      <c r="CA456" s="68"/>
      <c r="CB456" s="68"/>
      <c r="CC456" s="68"/>
    </row>
    <row r="457" spans="1:81" ht="15.75" x14ac:dyDescent="0.25">
      <c r="A457" s="68"/>
      <c r="B457" s="68"/>
      <c r="C457" s="68"/>
      <c r="D457" s="69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  <c r="BZ457" s="68"/>
      <c r="CA457" s="68"/>
      <c r="CB457" s="68"/>
      <c r="CC457" s="68"/>
    </row>
    <row r="458" spans="1:81" ht="15.75" x14ac:dyDescent="0.25">
      <c r="A458" s="68"/>
      <c r="B458" s="68"/>
      <c r="C458" s="68"/>
      <c r="D458" s="69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  <c r="BZ458" s="68"/>
      <c r="CA458" s="68"/>
      <c r="CB458" s="68"/>
      <c r="CC458" s="68"/>
    </row>
    <row r="459" spans="1:81" ht="15.75" x14ac:dyDescent="0.25">
      <c r="A459" s="68"/>
      <c r="B459" s="68"/>
      <c r="C459" s="68"/>
      <c r="D459" s="69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</row>
    <row r="460" spans="1:81" ht="15.75" x14ac:dyDescent="0.25">
      <c r="A460" s="68"/>
      <c r="B460" s="68"/>
      <c r="C460" s="68"/>
      <c r="D460" s="69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68"/>
      <c r="CB460" s="68"/>
      <c r="CC460" s="68"/>
    </row>
    <row r="461" spans="1:81" ht="15.75" x14ac:dyDescent="0.25">
      <c r="A461" s="68"/>
      <c r="B461" s="68"/>
      <c r="C461" s="68"/>
      <c r="D461" s="69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  <c r="BZ461" s="68"/>
      <c r="CA461" s="68"/>
      <c r="CB461" s="68"/>
      <c r="CC461" s="68"/>
    </row>
    <row r="462" spans="1:81" ht="15.75" x14ac:dyDescent="0.25">
      <c r="A462" s="68"/>
      <c r="B462" s="68"/>
      <c r="C462" s="68"/>
      <c r="D462" s="69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  <c r="BZ462" s="68"/>
      <c r="CA462" s="68"/>
      <c r="CB462" s="68"/>
      <c r="CC462" s="68"/>
    </row>
    <row r="463" spans="1:81" ht="15.75" x14ac:dyDescent="0.25">
      <c r="A463" s="68"/>
      <c r="B463" s="68"/>
      <c r="C463" s="68"/>
      <c r="D463" s="69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  <c r="BZ463" s="68"/>
      <c r="CA463" s="68"/>
      <c r="CB463" s="68"/>
      <c r="CC463" s="68"/>
    </row>
    <row r="464" spans="1:81" ht="15.75" x14ac:dyDescent="0.25">
      <c r="A464" s="68"/>
      <c r="B464" s="68"/>
      <c r="C464" s="68"/>
      <c r="D464" s="69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  <c r="BZ464" s="68"/>
      <c r="CA464" s="68"/>
      <c r="CB464" s="68"/>
      <c r="CC464" s="68"/>
    </row>
    <row r="465" spans="1:81" ht="15.75" x14ac:dyDescent="0.25">
      <c r="A465" s="68"/>
      <c r="B465" s="68"/>
      <c r="C465" s="68"/>
      <c r="D465" s="69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  <c r="BZ465" s="68"/>
      <c r="CA465" s="68"/>
      <c r="CB465" s="68"/>
      <c r="CC465" s="68"/>
    </row>
    <row r="466" spans="1:81" ht="15.75" x14ac:dyDescent="0.25">
      <c r="A466" s="68"/>
      <c r="B466" s="68"/>
      <c r="C466" s="68"/>
      <c r="D466" s="69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  <c r="BZ466" s="68"/>
      <c r="CA466" s="68"/>
      <c r="CB466" s="68"/>
      <c r="CC466" s="68"/>
    </row>
    <row r="467" spans="1:81" ht="15.75" x14ac:dyDescent="0.25">
      <c r="A467" s="68"/>
      <c r="B467" s="68"/>
      <c r="C467" s="68"/>
      <c r="D467" s="69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  <c r="BZ467" s="68"/>
      <c r="CA467" s="68"/>
      <c r="CB467" s="68"/>
      <c r="CC467" s="68"/>
    </row>
    <row r="468" spans="1:81" ht="15.75" x14ac:dyDescent="0.25">
      <c r="A468" s="68"/>
      <c r="B468" s="68"/>
      <c r="C468" s="68"/>
      <c r="D468" s="69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  <c r="BZ468" s="68"/>
      <c r="CA468" s="68"/>
      <c r="CB468" s="68"/>
      <c r="CC468" s="68"/>
    </row>
    <row r="469" spans="1:81" ht="15.75" x14ac:dyDescent="0.25">
      <c r="A469" s="68"/>
      <c r="B469" s="68"/>
      <c r="C469" s="68"/>
      <c r="D469" s="69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  <c r="BZ469" s="68"/>
      <c r="CA469" s="68"/>
      <c r="CB469" s="68"/>
      <c r="CC469" s="68"/>
    </row>
    <row r="470" spans="1:81" ht="15.75" x14ac:dyDescent="0.25">
      <c r="A470" s="68"/>
      <c r="B470" s="68"/>
      <c r="C470" s="68"/>
      <c r="D470" s="69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  <c r="BZ470" s="68"/>
      <c r="CA470" s="68"/>
      <c r="CB470" s="68"/>
      <c r="CC470" s="68"/>
    </row>
    <row r="471" spans="1:81" ht="15.75" x14ac:dyDescent="0.25">
      <c r="A471" s="68"/>
      <c r="B471" s="68"/>
      <c r="C471" s="68"/>
      <c r="D471" s="69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  <c r="BZ471" s="68"/>
      <c r="CA471" s="68"/>
      <c r="CB471" s="68"/>
      <c r="CC471" s="68"/>
    </row>
    <row r="472" spans="1:81" ht="15.75" x14ac:dyDescent="0.25">
      <c r="A472" s="68"/>
      <c r="B472" s="68"/>
      <c r="C472" s="68"/>
      <c r="D472" s="69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  <c r="BZ472" s="68"/>
      <c r="CA472" s="68"/>
      <c r="CB472" s="68"/>
      <c r="CC472" s="68"/>
    </row>
    <row r="473" spans="1:81" ht="15.75" x14ac:dyDescent="0.25">
      <c r="A473" s="68"/>
      <c r="B473" s="68"/>
      <c r="C473" s="68"/>
      <c r="D473" s="69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  <c r="BZ473" s="68"/>
      <c r="CA473" s="68"/>
      <c r="CB473" s="68"/>
      <c r="CC473" s="68"/>
    </row>
    <row r="474" spans="1:81" ht="15.75" x14ac:dyDescent="0.25">
      <c r="A474" s="68"/>
      <c r="B474" s="68"/>
      <c r="C474" s="68"/>
      <c r="D474" s="69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  <c r="BZ474" s="68"/>
      <c r="CA474" s="68"/>
      <c r="CB474" s="68"/>
      <c r="CC474" s="68"/>
    </row>
    <row r="475" spans="1:81" ht="15.75" x14ac:dyDescent="0.25">
      <c r="A475" s="68"/>
      <c r="B475" s="68"/>
      <c r="C475" s="68"/>
      <c r="D475" s="69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  <c r="BZ475" s="68"/>
      <c r="CA475" s="68"/>
      <c r="CB475" s="68"/>
      <c r="CC475" s="68"/>
    </row>
    <row r="476" spans="1:81" ht="15.75" x14ac:dyDescent="0.25">
      <c r="A476" s="68"/>
      <c r="B476" s="68"/>
      <c r="C476" s="68"/>
      <c r="D476" s="69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  <c r="BZ476" s="68"/>
      <c r="CA476" s="68"/>
      <c r="CB476" s="68"/>
      <c r="CC476" s="68"/>
    </row>
    <row r="477" spans="1:81" ht="15.75" x14ac:dyDescent="0.25">
      <c r="A477" s="68"/>
      <c r="B477" s="68"/>
      <c r="C477" s="68"/>
      <c r="D477" s="69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  <c r="BZ477" s="68"/>
      <c r="CA477" s="68"/>
      <c r="CB477" s="68"/>
      <c r="CC477" s="68"/>
    </row>
    <row r="478" spans="1:81" ht="15.75" x14ac:dyDescent="0.25">
      <c r="A478" s="68"/>
      <c r="B478" s="68"/>
      <c r="C478" s="68"/>
      <c r="D478" s="69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  <c r="BZ478" s="68"/>
      <c r="CA478" s="68"/>
      <c r="CB478" s="68"/>
      <c r="CC478" s="68"/>
    </row>
    <row r="479" spans="1:81" ht="15.75" x14ac:dyDescent="0.25">
      <c r="A479" s="68"/>
      <c r="B479" s="68"/>
      <c r="C479" s="68"/>
      <c r="D479" s="69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  <c r="BZ479" s="68"/>
      <c r="CA479" s="68"/>
      <c r="CB479" s="68"/>
      <c r="CC479" s="68"/>
    </row>
    <row r="480" spans="1:81" ht="15.75" x14ac:dyDescent="0.25">
      <c r="A480" s="68"/>
      <c r="B480" s="68"/>
      <c r="C480" s="68"/>
      <c r="D480" s="69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  <c r="BZ480" s="68"/>
      <c r="CA480" s="68"/>
      <c r="CB480" s="68"/>
      <c r="CC480" s="68"/>
    </row>
    <row r="481" spans="1:81" ht="15.75" x14ac:dyDescent="0.25">
      <c r="A481" s="68"/>
      <c r="B481" s="68"/>
      <c r="C481" s="68"/>
      <c r="D481" s="69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  <c r="BZ481" s="68"/>
      <c r="CA481" s="68"/>
      <c r="CB481" s="68"/>
      <c r="CC481" s="68"/>
    </row>
    <row r="482" spans="1:81" ht="15.75" x14ac:dyDescent="0.25">
      <c r="A482" s="68"/>
      <c r="B482" s="68"/>
      <c r="C482" s="68"/>
      <c r="D482" s="69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  <c r="BZ482" s="68"/>
      <c r="CA482" s="68"/>
      <c r="CB482" s="68"/>
      <c r="CC482" s="68"/>
    </row>
    <row r="483" spans="1:81" ht="15.75" x14ac:dyDescent="0.25">
      <c r="A483" s="68"/>
      <c r="B483" s="68"/>
      <c r="C483" s="68"/>
      <c r="D483" s="69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  <c r="BZ483" s="68"/>
      <c r="CA483" s="68"/>
      <c r="CB483" s="68"/>
      <c r="CC483" s="68"/>
    </row>
    <row r="484" spans="1:81" ht="15.75" x14ac:dyDescent="0.25">
      <c r="A484" s="68"/>
      <c r="B484" s="68"/>
      <c r="C484" s="68"/>
      <c r="D484" s="69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  <c r="BZ484" s="68"/>
      <c r="CA484" s="68"/>
      <c r="CB484" s="68"/>
      <c r="CC484" s="68"/>
    </row>
    <row r="485" spans="1:81" ht="15.75" x14ac:dyDescent="0.25">
      <c r="A485" s="68"/>
      <c r="B485" s="68"/>
      <c r="C485" s="68"/>
      <c r="D485" s="69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  <c r="BZ485" s="68"/>
      <c r="CA485" s="68"/>
      <c r="CB485" s="68"/>
      <c r="CC485" s="68"/>
    </row>
    <row r="486" spans="1:81" ht="15.75" x14ac:dyDescent="0.25">
      <c r="A486" s="68"/>
      <c r="B486" s="68"/>
      <c r="C486" s="68"/>
      <c r="D486" s="69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</row>
    <row r="487" spans="1:81" ht="15.75" x14ac:dyDescent="0.25">
      <c r="A487" s="68"/>
      <c r="B487" s="68"/>
      <c r="C487" s="68"/>
      <c r="D487" s="69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  <c r="BZ487" s="68"/>
      <c r="CA487" s="68"/>
      <c r="CB487" s="68"/>
      <c r="CC487" s="68"/>
    </row>
    <row r="488" spans="1:81" ht="15.75" x14ac:dyDescent="0.25">
      <c r="A488" s="68"/>
      <c r="B488" s="68"/>
      <c r="C488" s="68"/>
      <c r="D488" s="69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68"/>
      <c r="CB488" s="68"/>
      <c r="CC488" s="68"/>
    </row>
    <row r="489" spans="1:81" ht="15.75" x14ac:dyDescent="0.25">
      <c r="A489" s="68"/>
      <c r="B489" s="68"/>
      <c r="C489" s="68"/>
      <c r="D489" s="69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  <c r="BZ489" s="68"/>
      <c r="CA489" s="68"/>
      <c r="CB489" s="68"/>
      <c r="CC489" s="68"/>
    </row>
    <row r="490" spans="1:81" ht="15.75" x14ac:dyDescent="0.25">
      <c r="A490" s="68"/>
      <c r="B490" s="68"/>
      <c r="C490" s="68"/>
      <c r="D490" s="69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68"/>
      <c r="CB490" s="68"/>
      <c r="CC490" s="68"/>
    </row>
    <row r="491" spans="1:81" ht="15.75" x14ac:dyDescent="0.25">
      <c r="A491" s="68"/>
      <c r="B491" s="68"/>
      <c r="C491" s="68"/>
      <c r="D491" s="69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  <c r="BZ491" s="68"/>
      <c r="CA491" s="68"/>
      <c r="CB491" s="68"/>
      <c r="CC491" s="68"/>
    </row>
    <row r="492" spans="1:81" ht="15.75" x14ac:dyDescent="0.25">
      <c r="A492" s="68"/>
      <c r="B492" s="68"/>
      <c r="C492" s="68"/>
      <c r="D492" s="69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  <c r="BZ492" s="68"/>
      <c r="CA492" s="68"/>
      <c r="CB492" s="68"/>
      <c r="CC492" s="68"/>
    </row>
    <row r="493" spans="1:81" ht="15.75" x14ac:dyDescent="0.25">
      <c r="A493" s="68"/>
      <c r="B493" s="68"/>
      <c r="C493" s="68"/>
      <c r="D493" s="69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  <c r="BZ493" s="68"/>
      <c r="CA493" s="68"/>
      <c r="CB493" s="68"/>
      <c r="CC493" s="68"/>
    </row>
    <row r="494" spans="1:81" ht="15.75" x14ac:dyDescent="0.25">
      <c r="A494" s="68"/>
      <c r="B494" s="68"/>
      <c r="C494" s="68"/>
      <c r="D494" s="69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68"/>
      <c r="CB494" s="68"/>
      <c r="CC494" s="68"/>
    </row>
    <row r="495" spans="1:81" ht="15.75" x14ac:dyDescent="0.25">
      <c r="A495" s="68"/>
      <c r="B495" s="68"/>
      <c r="C495" s="68"/>
      <c r="D495" s="69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  <c r="BZ495" s="68"/>
      <c r="CA495" s="68"/>
      <c r="CB495" s="68"/>
      <c r="CC495" s="68"/>
    </row>
    <row r="496" spans="1:81" ht="15.75" x14ac:dyDescent="0.25">
      <c r="A496" s="68"/>
      <c r="B496" s="68"/>
      <c r="C496" s="68"/>
      <c r="D496" s="69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  <c r="BZ496" s="68"/>
      <c r="CA496" s="68"/>
      <c r="CB496" s="68"/>
      <c r="CC496" s="68"/>
    </row>
    <row r="497" spans="1:81" ht="15.75" x14ac:dyDescent="0.25">
      <c r="A497" s="68"/>
      <c r="B497" s="68"/>
      <c r="C497" s="68"/>
      <c r="D497" s="69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  <c r="BZ497" s="68"/>
      <c r="CA497" s="68"/>
      <c r="CB497" s="68"/>
      <c r="CC497" s="68"/>
    </row>
    <row r="498" spans="1:81" ht="15.75" x14ac:dyDescent="0.25">
      <c r="A498" s="68"/>
      <c r="B498" s="68"/>
      <c r="C498" s="68"/>
      <c r="D498" s="69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  <c r="BZ498" s="68"/>
      <c r="CA498" s="68"/>
      <c r="CB498" s="68"/>
      <c r="CC498" s="68"/>
    </row>
    <row r="499" spans="1:81" ht="15.75" x14ac:dyDescent="0.25">
      <c r="A499" s="68"/>
      <c r="B499" s="68"/>
      <c r="C499" s="68"/>
      <c r="D499" s="69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  <c r="BZ499" s="68"/>
      <c r="CA499" s="68"/>
      <c r="CB499" s="68"/>
      <c r="CC499" s="68"/>
    </row>
    <row r="500" spans="1:81" ht="15.75" x14ac:dyDescent="0.25">
      <c r="A500" s="68"/>
      <c r="B500" s="68"/>
      <c r="C500" s="68"/>
      <c r="D500" s="69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  <c r="BZ500" s="68"/>
      <c r="CA500" s="68"/>
      <c r="CB500" s="68"/>
      <c r="CC500" s="68"/>
    </row>
    <row r="501" spans="1:81" ht="15.75" x14ac:dyDescent="0.25">
      <c r="A501" s="68"/>
      <c r="B501" s="68"/>
      <c r="C501" s="68"/>
      <c r="D501" s="69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  <c r="BZ501" s="68"/>
      <c r="CA501" s="68"/>
      <c r="CB501" s="68"/>
      <c r="CC501" s="68"/>
    </row>
    <row r="502" spans="1:81" ht="15.75" x14ac:dyDescent="0.25">
      <c r="A502" s="68"/>
      <c r="B502" s="68"/>
      <c r="C502" s="68"/>
      <c r="D502" s="69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  <c r="BZ502" s="68"/>
      <c r="CA502" s="68"/>
      <c r="CB502" s="68"/>
      <c r="CC502" s="68"/>
    </row>
    <row r="503" spans="1:81" ht="15.75" x14ac:dyDescent="0.25">
      <c r="A503" s="68"/>
      <c r="B503" s="68"/>
      <c r="C503" s="68"/>
      <c r="D503" s="69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  <c r="BZ503" s="68"/>
      <c r="CA503" s="68"/>
      <c r="CB503" s="68"/>
      <c r="CC503" s="68"/>
    </row>
    <row r="504" spans="1:81" ht="15.75" x14ac:dyDescent="0.25">
      <c r="A504" s="68"/>
      <c r="B504" s="68"/>
      <c r="C504" s="68"/>
      <c r="D504" s="69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  <c r="BZ504" s="68"/>
      <c r="CA504" s="68"/>
      <c r="CB504" s="68"/>
      <c r="CC504" s="68"/>
    </row>
    <row r="505" spans="1:81" ht="15.75" x14ac:dyDescent="0.25">
      <c r="A505" s="68"/>
      <c r="B505" s="68"/>
      <c r="C505" s="68"/>
      <c r="D505" s="69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  <c r="BZ505" s="68"/>
      <c r="CA505" s="68"/>
      <c r="CB505" s="68"/>
      <c r="CC505" s="68"/>
    </row>
    <row r="506" spans="1:81" ht="15.75" x14ac:dyDescent="0.25">
      <c r="A506" s="68"/>
      <c r="B506" s="68"/>
      <c r="C506" s="68"/>
      <c r="D506" s="69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  <c r="BZ506" s="68"/>
      <c r="CA506" s="68"/>
      <c r="CB506" s="68"/>
      <c r="CC506" s="68"/>
    </row>
    <row r="507" spans="1:81" ht="15.75" x14ac:dyDescent="0.25">
      <c r="A507" s="68"/>
      <c r="B507" s="68"/>
      <c r="C507" s="68"/>
      <c r="D507" s="69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  <c r="BZ507" s="68"/>
      <c r="CA507" s="68"/>
      <c r="CB507" s="68"/>
      <c r="CC507" s="68"/>
    </row>
    <row r="508" spans="1:81" ht="15.75" x14ac:dyDescent="0.25">
      <c r="A508" s="68"/>
      <c r="B508" s="68"/>
      <c r="C508" s="68"/>
      <c r="D508" s="69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  <c r="BZ508" s="68"/>
      <c r="CA508" s="68"/>
      <c r="CB508" s="68"/>
      <c r="CC508" s="68"/>
    </row>
    <row r="509" spans="1:81" ht="15.75" x14ac:dyDescent="0.25">
      <c r="A509" s="68"/>
      <c r="B509" s="68"/>
      <c r="C509" s="68"/>
      <c r="D509" s="69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  <c r="BZ509" s="68"/>
      <c r="CA509" s="68"/>
      <c r="CB509" s="68"/>
      <c r="CC509" s="68"/>
    </row>
    <row r="510" spans="1:81" ht="15.75" x14ac:dyDescent="0.25">
      <c r="A510" s="68"/>
      <c r="B510" s="68"/>
      <c r="C510" s="68"/>
      <c r="D510" s="69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  <c r="BZ510" s="68"/>
      <c r="CA510" s="68"/>
      <c r="CB510" s="68"/>
      <c r="CC510" s="68"/>
    </row>
    <row r="511" spans="1:81" ht="15.75" x14ac:dyDescent="0.25">
      <c r="A511" s="68"/>
      <c r="B511" s="68"/>
      <c r="C511" s="68"/>
      <c r="D511" s="69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  <c r="BZ511" s="68"/>
      <c r="CA511" s="68"/>
      <c r="CB511" s="68"/>
      <c r="CC511" s="68"/>
    </row>
    <row r="512" spans="1:81" ht="15.75" x14ac:dyDescent="0.25">
      <c r="A512" s="68"/>
      <c r="B512" s="68"/>
      <c r="C512" s="68"/>
      <c r="D512" s="69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  <c r="BZ512" s="68"/>
      <c r="CA512" s="68"/>
      <c r="CB512" s="68"/>
      <c r="CC512" s="68"/>
    </row>
    <row r="513" spans="1:81" ht="15.75" x14ac:dyDescent="0.25">
      <c r="A513" s="68"/>
      <c r="B513" s="68"/>
      <c r="C513" s="68"/>
      <c r="D513" s="69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  <c r="BZ513" s="68"/>
      <c r="CA513" s="68"/>
      <c r="CB513" s="68"/>
      <c r="CC513" s="68"/>
    </row>
    <row r="514" spans="1:81" ht="15.75" x14ac:dyDescent="0.25">
      <c r="A514" s="68"/>
      <c r="B514" s="68"/>
      <c r="C514" s="68"/>
      <c r="D514" s="69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  <c r="BZ514" s="68"/>
      <c r="CA514" s="68"/>
      <c r="CB514" s="68"/>
      <c r="CC514" s="68"/>
    </row>
    <row r="515" spans="1:81" ht="15.75" x14ac:dyDescent="0.25">
      <c r="A515" s="68"/>
      <c r="B515" s="68"/>
      <c r="C515" s="68"/>
      <c r="D515" s="69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</row>
    <row r="516" spans="1:81" ht="15.75" x14ac:dyDescent="0.25">
      <c r="A516" s="68"/>
      <c r="B516" s="68"/>
      <c r="C516" s="68"/>
      <c r="D516" s="69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</row>
    <row r="517" spans="1:81" ht="15.75" x14ac:dyDescent="0.25">
      <c r="A517" s="68"/>
      <c r="B517" s="68"/>
      <c r="C517" s="68"/>
      <c r="D517" s="69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</row>
    <row r="518" spans="1:81" ht="15.75" x14ac:dyDescent="0.25">
      <c r="A518" s="68"/>
      <c r="B518" s="68"/>
      <c r="C518" s="68"/>
      <c r="D518" s="69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</row>
    <row r="519" spans="1:81" ht="15.75" x14ac:dyDescent="0.25">
      <c r="A519" s="68"/>
      <c r="B519" s="68"/>
      <c r="C519" s="68"/>
      <c r="D519" s="69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</row>
    <row r="520" spans="1:81" ht="15.75" x14ac:dyDescent="0.25">
      <c r="A520" s="68"/>
      <c r="B520" s="68"/>
      <c r="C520" s="68"/>
      <c r="D520" s="69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  <c r="BZ520" s="68"/>
      <c r="CA520" s="68"/>
      <c r="CB520" s="68"/>
      <c r="CC520" s="68"/>
    </row>
    <row r="521" spans="1:81" ht="15.75" x14ac:dyDescent="0.25">
      <c r="A521" s="68"/>
      <c r="B521" s="68"/>
      <c r="C521" s="68"/>
      <c r="D521" s="69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  <c r="BZ521" s="68"/>
      <c r="CA521" s="68"/>
      <c r="CB521" s="68"/>
      <c r="CC521" s="68"/>
    </row>
    <row r="522" spans="1:81" ht="15.75" x14ac:dyDescent="0.25">
      <c r="A522" s="68"/>
      <c r="B522" s="68"/>
      <c r="C522" s="68"/>
      <c r="D522" s="69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  <c r="BZ522" s="68"/>
      <c r="CA522" s="68"/>
      <c r="CB522" s="68"/>
      <c r="CC522" s="68"/>
    </row>
    <row r="523" spans="1:81" ht="15.75" x14ac:dyDescent="0.25">
      <c r="A523" s="68"/>
      <c r="B523" s="68"/>
      <c r="C523" s="68"/>
      <c r="D523" s="69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  <c r="BZ523" s="68"/>
      <c r="CA523" s="68"/>
      <c r="CB523" s="68"/>
      <c r="CC523" s="68"/>
    </row>
    <row r="524" spans="1:81" ht="15.75" x14ac:dyDescent="0.25">
      <c r="A524" s="68"/>
      <c r="B524" s="68"/>
      <c r="C524" s="68"/>
      <c r="D524" s="69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  <c r="BZ524" s="68"/>
      <c r="CA524" s="68"/>
      <c r="CB524" s="68"/>
      <c r="CC524" s="68"/>
    </row>
    <row r="525" spans="1:81" ht="15.75" x14ac:dyDescent="0.25">
      <c r="A525" s="68"/>
      <c r="B525" s="68"/>
      <c r="C525" s="68"/>
      <c r="D525" s="69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  <c r="BZ525" s="68"/>
      <c r="CA525" s="68"/>
      <c r="CB525" s="68"/>
      <c r="CC525" s="68"/>
    </row>
    <row r="526" spans="1:81" ht="15.75" x14ac:dyDescent="0.25">
      <c r="A526" s="68"/>
      <c r="B526" s="68"/>
      <c r="C526" s="68"/>
      <c r="D526" s="69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  <c r="BZ526" s="68"/>
      <c r="CA526" s="68"/>
      <c r="CB526" s="68"/>
      <c r="CC526" s="68"/>
    </row>
    <row r="527" spans="1:81" ht="15.75" x14ac:dyDescent="0.25">
      <c r="A527" s="68"/>
      <c r="B527" s="68"/>
      <c r="C527" s="68"/>
      <c r="D527" s="69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  <c r="BZ527" s="68"/>
      <c r="CA527" s="68"/>
      <c r="CB527" s="68"/>
      <c r="CC527" s="68"/>
    </row>
    <row r="528" spans="1:81" ht="15.75" x14ac:dyDescent="0.25">
      <c r="A528" s="68"/>
      <c r="B528" s="68"/>
      <c r="C528" s="68"/>
      <c r="D528" s="69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  <c r="BZ528" s="68"/>
      <c r="CA528" s="68"/>
      <c r="CB528" s="68"/>
      <c r="CC528" s="68"/>
    </row>
    <row r="529" spans="1:81" ht="15.75" x14ac:dyDescent="0.25">
      <c r="A529" s="68"/>
      <c r="B529" s="68"/>
      <c r="C529" s="68"/>
      <c r="D529" s="69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  <c r="BZ529" s="68"/>
      <c r="CA529" s="68"/>
      <c r="CB529" s="68"/>
      <c r="CC529" s="68"/>
    </row>
    <row r="530" spans="1:81" ht="15.75" x14ac:dyDescent="0.25">
      <c r="A530" s="68"/>
      <c r="B530" s="68"/>
      <c r="C530" s="68"/>
      <c r="D530" s="69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  <c r="BZ530" s="68"/>
      <c r="CA530" s="68"/>
      <c r="CB530" s="68"/>
      <c r="CC530" s="68"/>
    </row>
    <row r="531" spans="1:81" ht="15.75" x14ac:dyDescent="0.25">
      <c r="A531" s="68"/>
      <c r="B531" s="68"/>
      <c r="C531" s="68"/>
      <c r="D531" s="69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  <c r="BZ531" s="68"/>
      <c r="CA531" s="68"/>
      <c r="CB531" s="68"/>
      <c r="CC531" s="68"/>
    </row>
    <row r="532" spans="1:81" ht="15.75" x14ac:dyDescent="0.25">
      <c r="A532" s="68"/>
      <c r="B532" s="68"/>
      <c r="C532" s="68"/>
      <c r="D532" s="69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  <c r="BZ532" s="68"/>
      <c r="CA532" s="68"/>
      <c r="CB532" s="68"/>
      <c r="CC532" s="68"/>
    </row>
    <row r="533" spans="1:81" ht="15.75" x14ac:dyDescent="0.25">
      <c r="A533" s="68"/>
      <c r="B533" s="68"/>
      <c r="C533" s="68"/>
      <c r="D533" s="69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  <c r="BZ533" s="68"/>
      <c r="CA533" s="68"/>
      <c r="CB533" s="68"/>
      <c r="CC533" s="68"/>
    </row>
    <row r="534" spans="1:81" ht="15.75" x14ac:dyDescent="0.25">
      <c r="A534" s="68"/>
      <c r="B534" s="68"/>
      <c r="C534" s="68"/>
      <c r="D534" s="69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  <c r="BZ534" s="68"/>
      <c r="CA534" s="68"/>
      <c r="CB534" s="68"/>
      <c r="CC534" s="68"/>
    </row>
    <row r="535" spans="1:81" ht="15.75" x14ac:dyDescent="0.25">
      <c r="A535" s="68"/>
      <c r="B535" s="68"/>
      <c r="C535" s="68"/>
      <c r="D535" s="69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  <c r="BZ535" s="68"/>
      <c r="CA535" s="68"/>
      <c r="CB535" s="68"/>
      <c r="CC535" s="68"/>
    </row>
    <row r="536" spans="1:81" ht="15.75" x14ac:dyDescent="0.25">
      <c r="A536" s="68"/>
      <c r="B536" s="68"/>
      <c r="C536" s="68"/>
      <c r="D536" s="69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  <c r="BZ536" s="68"/>
      <c r="CA536" s="68"/>
      <c r="CB536" s="68"/>
      <c r="CC536" s="68"/>
    </row>
    <row r="537" spans="1:81" ht="15.75" x14ac:dyDescent="0.25">
      <c r="A537" s="68"/>
      <c r="B537" s="68"/>
      <c r="C537" s="68"/>
      <c r="D537" s="69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  <c r="BZ537" s="68"/>
      <c r="CA537" s="68"/>
      <c r="CB537" s="68"/>
      <c r="CC537" s="68"/>
    </row>
    <row r="538" spans="1:81" ht="15.75" x14ac:dyDescent="0.25">
      <c r="A538" s="68"/>
      <c r="B538" s="68"/>
      <c r="C538" s="68"/>
      <c r="D538" s="69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  <c r="BZ538" s="68"/>
      <c r="CA538" s="68"/>
      <c r="CB538" s="68"/>
      <c r="CC538" s="68"/>
    </row>
    <row r="539" spans="1:81" ht="15.75" x14ac:dyDescent="0.25">
      <c r="A539" s="68"/>
      <c r="B539" s="68"/>
      <c r="C539" s="68"/>
      <c r="D539" s="69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  <c r="BZ539" s="68"/>
      <c r="CA539" s="68"/>
      <c r="CB539" s="68"/>
      <c r="CC539" s="68"/>
    </row>
    <row r="540" spans="1:81" ht="15.75" x14ac:dyDescent="0.25">
      <c r="A540" s="68"/>
      <c r="B540" s="68"/>
      <c r="C540" s="68"/>
      <c r="D540" s="69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  <c r="BZ540" s="68"/>
      <c r="CA540" s="68"/>
      <c r="CB540" s="68"/>
      <c r="CC540" s="68"/>
    </row>
    <row r="541" spans="1:81" ht="15.75" x14ac:dyDescent="0.25">
      <c r="A541" s="68"/>
      <c r="B541" s="68"/>
      <c r="C541" s="68"/>
      <c r="D541" s="69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  <c r="BZ541" s="68"/>
      <c r="CA541" s="68"/>
      <c r="CB541" s="68"/>
      <c r="CC541" s="68"/>
    </row>
    <row r="542" spans="1:81" ht="15.75" x14ac:dyDescent="0.25">
      <c r="A542" s="68"/>
      <c r="B542" s="68"/>
      <c r="C542" s="68"/>
      <c r="D542" s="69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  <c r="BZ542" s="68"/>
      <c r="CA542" s="68"/>
      <c r="CB542" s="68"/>
      <c r="CC542" s="68"/>
    </row>
    <row r="543" spans="1:81" ht="15.75" x14ac:dyDescent="0.25">
      <c r="A543" s="68"/>
      <c r="B543" s="68"/>
      <c r="C543" s="68"/>
      <c r="D543" s="69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  <c r="BZ543" s="68"/>
      <c r="CA543" s="68"/>
      <c r="CB543" s="68"/>
      <c r="CC543" s="68"/>
    </row>
    <row r="544" spans="1:81" ht="15.75" x14ac:dyDescent="0.25">
      <c r="A544" s="68"/>
      <c r="B544" s="68"/>
      <c r="C544" s="68"/>
      <c r="D544" s="69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  <c r="BZ544" s="68"/>
      <c r="CA544" s="68"/>
      <c r="CB544" s="68"/>
      <c r="CC544" s="68"/>
    </row>
    <row r="545" spans="1:81" ht="15.75" x14ac:dyDescent="0.25">
      <c r="A545" s="68"/>
      <c r="B545" s="68"/>
      <c r="C545" s="68"/>
      <c r="D545" s="69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  <c r="BZ545" s="68"/>
      <c r="CA545" s="68"/>
      <c r="CB545" s="68"/>
      <c r="CC545" s="68"/>
    </row>
    <row r="546" spans="1:81" ht="15.75" x14ac:dyDescent="0.25">
      <c r="A546" s="68"/>
      <c r="B546" s="68"/>
      <c r="C546" s="68"/>
      <c r="D546" s="69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  <c r="BZ546" s="68"/>
      <c r="CA546" s="68"/>
      <c r="CB546" s="68"/>
      <c r="CC546" s="68"/>
    </row>
    <row r="547" spans="1:81" ht="15.75" x14ac:dyDescent="0.25">
      <c r="A547" s="68"/>
      <c r="B547" s="68"/>
      <c r="C547" s="68"/>
      <c r="D547" s="69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  <c r="BZ547" s="68"/>
      <c r="CA547" s="68"/>
      <c r="CB547" s="68"/>
      <c r="CC547" s="68"/>
    </row>
    <row r="548" spans="1:81" ht="15.75" x14ac:dyDescent="0.25">
      <c r="A548" s="68"/>
      <c r="B548" s="68"/>
      <c r="C548" s="68"/>
      <c r="D548" s="69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  <c r="BZ548" s="68"/>
      <c r="CA548" s="68"/>
      <c r="CB548" s="68"/>
      <c r="CC548" s="68"/>
    </row>
    <row r="549" spans="1:81" ht="15.75" x14ac:dyDescent="0.25">
      <c r="A549" s="68"/>
      <c r="B549" s="68"/>
      <c r="C549" s="68"/>
      <c r="D549" s="69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  <c r="BZ549" s="68"/>
      <c r="CA549" s="68"/>
      <c r="CB549" s="68"/>
      <c r="CC549" s="68"/>
    </row>
    <row r="550" spans="1:81" ht="15.75" x14ac:dyDescent="0.25">
      <c r="A550" s="68"/>
      <c r="B550" s="68"/>
      <c r="C550" s="68"/>
      <c r="D550" s="69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  <c r="BZ550" s="68"/>
      <c r="CA550" s="68"/>
      <c r="CB550" s="68"/>
      <c r="CC550" s="68"/>
    </row>
    <row r="551" spans="1:81" ht="15.75" x14ac:dyDescent="0.25">
      <c r="A551" s="68"/>
      <c r="B551" s="68"/>
      <c r="C551" s="68"/>
      <c r="D551" s="69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  <c r="BZ551" s="68"/>
      <c r="CA551" s="68"/>
      <c r="CB551" s="68"/>
      <c r="CC551" s="68"/>
    </row>
    <row r="552" spans="1:81" ht="15.75" x14ac:dyDescent="0.25">
      <c r="A552" s="68"/>
      <c r="B552" s="68"/>
      <c r="C552" s="68"/>
      <c r="D552" s="69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  <c r="BZ552" s="68"/>
      <c r="CA552" s="68"/>
      <c r="CB552" s="68"/>
      <c r="CC552" s="68"/>
    </row>
    <row r="553" spans="1:81" ht="15.75" x14ac:dyDescent="0.25">
      <c r="A553" s="68"/>
      <c r="B553" s="68"/>
      <c r="C553" s="68"/>
      <c r="D553" s="69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  <c r="BZ553" s="68"/>
      <c r="CA553" s="68"/>
      <c r="CB553" s="68"/>
      <c r="CC553" s="68"/>
    </row>
    <row r="554" spans="1:81" ht="15.75" x14ac:dyDescent="0.25">
      <c r="A554" s="68"/>
      <c r="B554" s="68"/>
      <c r="C554" s="68"/>
      <c r="D554" s="69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  <c r="BZ554" s="68"/>
      <c r="CA554" s="68"/>
      <c r="CB554" s="68"/>
      <c r="CC554" s="68"/>
    </row>
    <row r="555" spans="1:81" ht="15.75" x14ac:dyDescent="0.25">
      <c r="A555" s="68"/>
      <c r="B555" s="68"/>
      <c r="C555" s="68"/>
      <c r="D555" s="69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  <c r="BZ555" s="68"/>
      <c r="CA555" s="68"/>
      <c r="CB555" s="68"/>
      <c r="CC555" s="68"/>
    </row>
    <row r="556" spans="1:81" ht="15.75" x14ac:dyDescent="0.25">
      <c r="A556" s="68"/>
      <c r="B556" s="68"/>
      <c r="C556" s="68"/>
      <c r="D556" s="69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  <c r="BZ556" s="68"/>
      <c r="CA556" s="68"/>
      <c r="CB556" s="68"/>
      <c r="CC556" s="68"/>
    </row>
    <row r="557" spans="1:81" ht="15.75" x14ac:dyDescent="0.25">
      <c r="A557" s="68"/>
      <c r="B557" s="68"/>
      <c r="C557" s="68"/>
      <c r="D557" s="69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  <c r="BZ557" s="68"/>
      <c r="CA557" s="68"/>
      <c r="CB557" s="68"/>
      <c r="CC557" s="68"/>
    </row>
    <row r="558" spans="1:81" ht="15.75" x14ac:dyDescent="0.25">
      <c r="A558" s="68"/>
      <c r="B558" s="68"/>
      <c r="C558" s="68"/>
      <c r="D558" s="69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  <c r="BZ558" s="68"/>
      <c r="CA558" s="68"/>
      <c r="CB558" s="68"/>
      <c r="CC558" s="68"/>
    </row>
    <row r="559" spans="1:81" ht="15.75" x14ac:dyDescent="0.25">
      <c r="A559" s="68"/>
      <c r="B559" s="68"/>
      <c r="C559" s="68"/>
      <c r="D559" s="69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  <c r="BZ559" s="68"/>
      <c r="CA559" s="68"/>
      <c r="CB559" s="68"/>
      <c r="CC559" s="68"/>
    </row>
    <row r="560" spans="1:81" ht="15.75" x14ac:dyDescent="0.25">
      <c r="A560" s="68"/>
      <c r="B560" s="68"/>
      <c r="C560" s="68"/>
      <c r="D560" s="69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  <c r="BZ560" s="68"/>
      <c r="CA560" s="68"/>
      <c r="CB560" s="68"/>
      <c r="CC560" s="68"/>
    </row>
    <row r="561" spans="1:81" ht="15.75" x14ac:dyDescent="0.25">
      <c r="A561" s="68"/>
      <c r="B561" s="68"/>
      <c r="C561" s="68"/>
      <c r="D561" s="69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  <c r="BZ561" s="68"/>
      <c r="CA561" s="68"/>
      <c r="CB561" s="68"/>
      <c r="CC561" s="68"/>
    </row>
    <row r="562" spans="1:81" ht="15.75" x14ac:dyDescent="0.25">
      <c r="A562" s="68"/>
      <c r="B562" s="68"/>
      <c r="C562" s="68"/>
      <c r="D562" s="69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  <c r="BZ562" s="68"/>
      <c r="CA562" s="68"/>
      <c r="CB562" s="68"/>
      <c r="CC562" s="68"/>
    </row>
    <row r="563" spans="1:81" ht="15.75" x14ac:dyDescent="0.25">
      <c r="A563" s="68"/>
      <c r="B563" s="68"/>
      <c r="C563" s="68"/>
      <c r="D563" s="69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  <c r="BZ563" s="68"/>
      <c r="CA563" s="68"/>
      <c r="CB563" s="68"/>
      <c r="CC563" s="68"/>
    </row>
    <row r="564" spans="1:81" ht="15.75" x14ac:dyDescent="0.25">
      <c r="A564" s="68"/>
      <c r="B564" s="68"/>
      <c r="C564" s="68"/>
      <c r="D564" s="69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  <c r="BZ564" s="68"/>
      <c r="CA564" s="68"/>
      <c r="CB564" s="68"/>
      <c r="CC564" s="68"/>
    </row>
    <row r="565" spans="1:81" ht="15.75" x14ac:dyDescent="0.25">
      <c r="A565" s="68"/>
      <c r="B565" s="68"/>
      <c r="C565" s="68"/>
      <c r="D565" s="69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  <c r="BZ565" s="68"/>
      <c r="CA565" s="68"/>
      <c r="CB565" s="68"/>
      <c r="CC565" s="68"/>
    </row>
    <row r="566" spans="1:81" ht="15.75" x14ac:dyDescent="0.25">
      <c r="A566" s="68"/>
      <c r="B566" s="68"/>
      <c r="C566" s="68"/>
      <c r="D566" s="69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  <c r="BZ566" s="68"/>
      <c r="CA566" s="68"/>
      <c r="CB566" s="68"/>
      <c r="CC566" s="68"/>
    </row>
    <row r="567" spans="1:81" ht="15.75" x14ac:dyDescent="0.25">
      <c r="A567" s="68"/>
      <c r="B567" s="68"/>
      <c r="C567" s="68"/>
      <c r="D567" s="69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  <c r="BZ567" s="68"/>
      <c r="CA567" s="68"/>
      <c r="CB567" s="68"/>
      <c r="CC567" s="68"/>
    </row>
    <row r="568" spans="1:81" ht="15.75" x14ac:dyDescent="0.25">
      <c r="A568" s="68"/>
      <c r="B568" s="68"/>
      <c r="C568" s="68"/>
      <c r="D568" s="69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  <c r="BZ568" s="68"/>
      <c r="CA568" s="68"/>
      <c r="CB568" s="68"/>
      <c r="CC568" s="68"/>
    </row>
    <row r="569" spans="1:81" ht="15.75" x14ac:dyDescent="0.25">
      <c r="A569" s="68"/>
      <c r="B569" s="68"/>
      <c r="C569" s="68"/>
      <c r="D569" s="69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  <c r="BZ569" s="68"/>
      <c r="CA569" s="68"/>
      <c r="CB569" s="68"/>
      <c r="CC569" s="68"/>
    </row>
    <row r="570" spans="1:81" ht="15.75" x14ac:dyDescent="0.25">
      <c r="A570" s="68"/>
      <c r="B570" s="68"/>
      <c r="C570" s="68"/>
      <c r="D570" s="69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  <c r="BZ570" s="68"/>
      <c r="CA570" s="68"/>
      <c r="CB570" s="68"/>
      <c r="CC570" s="68"/>
    </row>
    <row r="571" spans="1:81" ht="15.75" x14ac:dyDescent="0.25">
      <c r="A571" s="68"/>
      <c r="B571" s="68"/>
      <c r="C571" s="68"/>
      <c r="D571" s="69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  <c r="BZ571" s="68"/>
      <c r="CA571" s="68"/>
      <c r="CB571" s="68"/>
      <c r="CC571" s="68"/>
    </row>
    <row r="572" spans="1:81" ht="15.75" x14ac:dyDescent="0.25">
      <c r="A572" s="68"/>
      <c r="B572" s="68"/>
      <c r="C572" s="68"/>
      <c r="D572" s="69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  <c r="BZ572" s="68"/>
      <c r="CA572" s="68"/>
      <c r="CB572" s="68"/>
      <c r="CC572" s="68"/>
    </row>
    <row r="573" spans="1:81" ht="15.75" x14ac:dyDescent="0.25">
      <c r="A573" s="68"/>
      <c r="B573" s="68"/>
      <c r="C573" s="68"/>
      <c r="D573" s="69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  <c r="BZ573" s="68"/>
      <c r="CA573" s="68"/>
      <c r="CB573" s="68"/>
      <c r="CC573" s="68"/>
    </row>
    <row r="574" spans="1:81" ht="15.75" x14ac:dyDescent="0.25">
      <c r="A574" s="68"/>
      <c r="B574" s="68"/>
      <c r="C574" s="68"/>
      <c r="D574" s="69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  <c r="BZ574" s="68"/>
      <c r="CA574" s="68"/>
      <c r="CB574" s="68"/>
      <c r="CC574" s="68"/>
    </row>
    <row r="575" spans="1:81" ht="15.75" x14ac:dyDescent="0.25">
      <c r="A575" s="68"/>
      <c r="B575" s="68"/>
      <c r="C575" s="68"/>
      <c r="D575" s="69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  <c r="BZ575" s="68"/>
      <c r="CA575" s="68"/>
      <c r="CB575" s="68"/>
      <c r="CC575" s="68"/>
    </row>
    <row r="576" spans="1:81" ht="15.75" x14ac:dyDescent="0.25">
      <c r="A576" s="68"/>
      <c r="B576" s="68"/>
      <c r="C576" s="68"/>
      <c r="D576" s="69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  <c r="BZ576" s="68"/>
      <c r="CA576" s="68"/>
      <c r="CB576" s="68"/>
      <c r="CC576" s="68"/>
    </row>
    <row r="577" spans="1:81" ht="15.75" x14ac:dyDescent="0.25">
      <c r="A577" s="68"/>
      <c r="B577" s="68"/>
      <c r="C577" s="68"/>
      <c r="D577" s="69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  <c r="BZ577" s="68"/>
      <c r="CA577" s="68"/>
      <c r="CB577" s="68"/>
      <c r="CC577" s="68"/>
    </row>
    <row r="578" spans="1:81" ht="15.75" x14ac:dyDescent="0.25">
      <c r="A578" s="68"/>
      <c r="B578" s="68"/>
      <c r="C578" s="68"/>
      <c r="D578" s="69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  <c r="BZ578" s="68"/>
      <c r="CA578" s="68"/>
      <c r="CB578" s="68"/>
      <c r="CC578" s="68"/>
    </row>
    <row r="579" spans="1:81" ht="15.75" x14ac:dyDescent="0.25">
      <c r="A579" s="68"/>
      <c r="B579" s="68"/>
      <c r="C579" s="68"/>
      <c r="D579" s="69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  <c r="BZ579" s="68"/>
      <c r="CA579" s="68"/>
      <c r="CB579" s="68"/>
      <c r="CC579" s="68"/>
    </row>
    <row r="580" spans="1:81" ht="15.75" x14ac:dyDescent="0.25">
      <c r="A580" s="68"/>
      <c r="B580" s="68"/>
      <c r="C580" s="68"/>
      <c r="D580" s="69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  <c r="BZ580" s="68"/>
      <c r="CA580" s="68"/>
      <c r="CB580" s="68"/>
      <c r="CC580" s="68"/>
    </row>
    <row r="581" spans="1:81" ht="15.75" x14ac:dyDescent="0.25">
      <c r="A581" s="68"/>
      <c r="B581" s="68"/>
      <c r="C581" s="68"/>
      <c r="D581" s="69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  <c r="BZ581" s="68"/>
      <c r="CA581" s="68"/>
      <c r="CB581" s="68"/>
      <c r="CC581" s="68"/>
    </row>
    <row r="582" spans="1:81" ht="15.75" x14ac:dyDescent="0.25">
      <c r="A582" s="68"/>
      <c r="B582" s="68"/>
      <c r="C582" s="68"/>
      <c r="D582" s="69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  <c r="BZ582" s="68"/>
      <c r="CA582" s="68"/>
      <c r="CB582" s="68"/>
      <c r="CC582" s="68"/>
    </row>
    <row r="583" spans="1:81" ht="15.75" x14ac:dyDescent="0.25">
      <c r="A583" s="68"/>
      <c r="B583" s="68"/>
      <c r="C583" s="68"/>
      <c r="D583" s="69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  <c r="BZ583" s="68"/>
      <c r="CA583" s="68"/>
      <c r="CB583" s="68"/>
      <c r="CC583" s="68"/>
    </row>
    <row r="584" spans="1:81" ht="15.75" x14ac:dyDescent="0.25">
      <c r="A584" s="68"/>
      <c r="B584" s="68"/>
      <c r="C584" s="68"/>
      <c r="D584" s="69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  <c r="BZ584" s="68"/>
      <c r="CA584" s="68"/>
      <c r="CB584" s="68"/>
      <c r="CC584" s="68"/>
    </row>
    <row r="585" spans="1:81" ht="15.75" x14ac:dyDescent="0.25">
      <c r="A585" s="68"/>
      <c r="B585" s="68"/>
      <c r="C585" s="68"/>
      <c r="D585" s="69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  <c r="BZ585" s="68"/>
      <c r="CA585" s="68"/>
      <c r="CB585" s="68"/>
      <c r="CC585" s="68"/>
    </row>
    <row r="586" spans="1:81" ht="15.75" x14ac:dyDescent="0.25">
      <c r="A586" s="68"/>
      <c r="B586" s="68"/>
      <c r="C586" s="68"/>
      <c r="D586" s="69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  <c r="BZ586" s="68"/>
      <c r="CA586" s="68"/>
      <c r="CB586" s="68"/>
      <c r="CC586" s="68"/>
    </row>
    <row r="587" spans="1:81" ht="15.75" x14ac:dyDescent="0.25">
      <c r="A587" s="68"/>
      <c r="B587" s="68"/>
      <c r="C587" s="68"/>
      <c r="D587" s="69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  <c r="BZ587" s="68"/>
      <c r="CA587" s="68"/>
      <c r="CB587" s="68"/>
      <c r="CC587" s="68"/>
    </row>
    <row r="588" spans="1:81" ht="15.75" x14ac:dyDescent="0.25">
      <c r="A588" s="68"/>
      <c r="B588" s="68"/>
      <c r="C588" s="68"/>
      <c r="D588" s="69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  <c r="BZ588" s="68"/>
      <c r="CA588" s="68"/>
      <c r="CB588" s="68"/>
      <c r="CC588" s="68"/>
    </row>
    <row r="589" spans="1:81" ht="15.75" x14ac:dyDescent="0.25">
      <c r="A589" s="68"/>
      <c r="B589" s="68"/>
      <c r="C589" s="68"/>
      <c r="D589" s="69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  <c r="BZ589" s="68"/>
      <c r="CA589" s="68"/>
      <c r="CB589" s="68"/>
      <c r="CC589" s="68"/>
    </row>
    <row r="590" spans="1:81" ht="15.75" x14ac:dyDescent="0.25">
      <c r="A590" s="68"/>
      <c r="B590" s="68"/>
      <c r="C590" s="68"/>
      <c r="D590" s="69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  <c r="BZ590" s="68"/>
      <c r="CA590" s="68"/>
      <c r="CB590" s="68"/>
      <c r="CC590" s="68"/>
    </row>
    <row r="591" spans="1:81" ht="15.75" x14ac:dyDescent="0.25">
      <c r="A591" s="68"/>
      <c r="B591" s="68"/>
      <c r="C591" s="68"/>
      <c r="D591" s="69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  <c r="BZ591" s="68"/>
      <c r="CA591" s="68"/>
      <c r="CB591" s="68"/>
      <c r="CC591" s="68"/>
    </row>
    <row r="592" spans="1:81" ht="15.75" x14ac:dyDescent="0.25">
      <c r="A592" s="68"/>
      <c r="B592" s="68"/>
      <c r="C592" s="68"/>
      <c r="D592" s="69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  <c r="BZ592" s="68"/>
      <c r="CA592" s="68"/>
      <c r="CB592" s="68"/>
      <c r="CC592" s="68"/>
    </row>
    <row r="593" spans="1:81" ht="15.75" x14ac:dyDescent="0.25">
      <c r="A593" s="68"/>
      <c r="B593" s="68"/>
      <c r="C593" s="68"/>
      <c r="D593" s="69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  <c r="BZ593" s="68"/>
      <c r="CA593" s="68"/>
      <c r="CB593" s="68"/>
      <c r="CC593" s="68"/>
    </row>
    <row r="594" spans="1:81" ht="15.75" x14ac:dyDescent="0.25">
      <c r="A594" s="68"/>
      <c r="B594" s="68"/>
      <c r="C594" s="68"/>
      <c r="D594" s="69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  <c r="BZ594" s="68"/>
      <c r="CA594" s="68"/>
      <c r="CB594" s="68"/>
      <c r="CC594" s="68"/>
    </row>
    <row r="595" spans="1:81" ht="15.75" x14ac:dyDescent="0.25">
      <c r="A595" s="68"/>
      <c r="B595" s="68"/>
      <c r="C595" s="68"/>
      <c r="D595" s="69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  <c r="BZ595" s="68"/>
      <c r="CA595" s="68"/>
      <c r="CB595" s="68"/>
      <c r="CC595" s="68"/>
    </row>
    <row r="596" spans="1:81" ht="15.75" x14ac:dyDescent="0.25">
      <c r="A596" s="68"/>
      <c r="B596" s="68"/>
      <c r="C596" s="68"/>
      <c r="D596" s="69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  <c r="BZ596" s="68"/>
      <c r="CA596" s="68"/>
      <c r="CB596" s="68"/>
      <c r="CC596" s="68"/>
    </row>
    <row r="597" spans="1:81" ht="15.75" x14ac:dyDescent="0.25">
      <c r="A597" s="68"/>
      <c r="B597" s="68"/>
      <c r="C597" s="68"/>
      <c r="D597" s="69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  <c r="BZ597" s="68"/>
      <c r="CA597" s="68"/>
      <c r="CB597" s="68"/>
      <c r="CC597" s="68"/>
    </row>
    <row r="598" spans="1:81" ht="15.75" x14ac:dyDescent="0.25">
      <c r="A598" s="68"/>
      <c r="B598" s="68"/>
      <c r="C598" s="68"/>
      <c r="D598" s="69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  <c r="BZ598" s="68"/>
      <c r="CA598" s="68"/>
      <c r="CB598" s="68"/>
      <c r="CC598" s="68"/>
    </row>
    <row r="599" spans="1:81" ht="15.75" x14ac:dyDescent="0.25">
      <c r="A599" s="68"/>
      <c r="B599" s="68"/>
      <c r="C599" s="68"/>
      <c r="D599" s="69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  <c r="BZ599" s="68"/>
      <c r="CA599" s="68"/>
      <c r="CB599" s="68"/>
      <c r="CC599" s="68"/>
    </row>
    <row r="600" spans="1:81" ht="15.75" x14ac:dyDescent="0.25">
      <c r="A600" s="68"/>
      <c r="B600" s="68"/>
      <c r="C600" s="68"/>
      <c r="D600" s="69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8"/>
      <c r="BS600" s="68"/>
      <c r="BT600" s="68"/>
      <c r="BU600" s="68"/>
      <c r="BV600" s="68"/>
      <c r="BW600" s="68"/>
      <c r="BX600" s="68"/>
      <c r="BY600" s="68"/>
      <c r="BZ600" s="68"/>
      <c r="CA600" s="68"/>
      <c r="CB600" s="68"/>
      <c r="CC600" s="68"/>
    </row>
    <row r="601" spans="1:81" ht="15.75" x14ac:dyDescent="0.25">
      <c r="A601" s="68"/>
      <c r="B601" s="68"/>
      <c r="C601" s="68"/>
      <c r="D601" s="69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8"/>
      <c r="BS601" s="68"/>
      <c r="BT601" s="68"/>
      <c r="BU601" s="68"/>
      <c r="BV601" s="68"/>
      <c r="BW601" s="68"/>
      <c r="BX601" s="68"/>
      <c r="BY601" s="68"/>
      <c r="BZ601" s="68"/>
      <c r="CA601" s="68"/>
      <c r="CB601" s="68"/>
      <c r="CC601" s="68"/>
    </row>
    <row r="602" spans="1:81" ht="15.75" x14ac:dyDescent="0.25">
      <c r="A602" s="68"/>
      <c r="B602" s="68"/>
      <c r="C602" s="68"/>
      <c r="D602" s="69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8"/>
      <c r="BU602" s="68"/>
      <c r="BV602" s="68"/>
      <c r="BW602" s="68"/>
      <c r="BX602" s="68"/>
      <c r="BY602" s="68"/>
      <c r="BZ602" s="68"/>
      <c r="CA602" s="68"/>
      <c r="CB602" s="68"/>
      <c r="CC602" s="68"/>
    </row>
    <row r="603" spans="1:81" ht="15.75" x14ac:dyDescent="0.25">
      <c r="A603" s="68"/>
      <c r="B603" s="68"/>
      <c r="C603" s="68"/>
      <c r="D603" s="69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68"/>
      <c r="BU603" s="68"/>
      <c r="BV603" s="68"/>
      <c r="BW603" s="68"/>
      <c r="BX603" s="68"/>
      <c r="BY603" s="68"/>
      <c r="BZ603" s="68"/>
      <c r="CA603" s="68"/>
      <c r="CB603" s="68"/>
      <c r="CC603" s="68"/>
    </row>
    <row r="604" spans="1:81" ht="15.75" x14ac:dyDescent="0.25">
      <c r="A604" s="68"/>
      <c r="B604" s="68"/>
      <c r="C604" s="68"/>
      <c r="D604" s="69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  <c r="BZ604" s="68"/>
      <c r="CA604" s="68"/>
      <c r="CB604" s="68"/>
      <c r="CC604" s="68"/>
    </row>
    <row r="605" spans="1:81" ht="15.75" x14ac:dyDescent="0.25">
      <c r="A605" s="68"/>
      <c r="B605" s="68"/>
      <c r="C605" s="68"/>
      <c r="D605" s="69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68"/>
      <c r="BZ605" s="68"/>
      <c r="CA605" s="68"/>
      <c r="CB605" s="68"/>
      <c r="CC605" s="68"/>
    </row>
    <row r="606" spans="1:81" ht="15.75" x14ac:dyDescent="0.25">
      <c r="A606" s="68"/>
      <c r="B606" s="68"/>
      <c r="C606" s="68"/>
      <c r="D606" s="69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68"/>
      <c r="BZ606" s="68"/>
      <c r="CA606" s="68"/>
      <c r="CB606" s="68"/>
      <c r="CC606" s="68"/>
    </row>
    <row r="607" spans="1:81" ht="15.75" x14ac:dyDescent="0.25">
      <c r="A607" s="68"/>
      <c r="B607" s="68"/>
      <c r="C607" s="68"/>
      <c r="D607" s="69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  <c r="BG607" s="68"/>
      <c r="BH607" s="68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68"/>
      <c r="BU607" s="68"/>
      <c r="BV607" s="68"/>
      <c r="BW607" s="68"/>
      <c r="BX607" s="68"/>
      <c r="BY607" s="68"/>
      <c r="BZ607" s="68"/>
      <c r="CA607" s="68"/>
      <c r="CB607" s="68"/>
      <c r="CC607" s="68"/>
    </row>
    <row r="608" spans="1:81" ht="15.75" x14ac:dyDescent="0.25">
      <c r="A608" s="68"/>
      <c r="B608" s="68"/>
      <c r="C608" s="68"/>
      <c r="D608" s="69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  <c r="BG608" s="68"/>
      <c r="BH608" s="68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68"/>
      <c r="BU608" s="68"/>
      <c r="BV608" s="68"/>
      <c r="BW608" s="68"/>
      <c r="BX608" s="68"/>
      <c r="BY608" s="68"/>
      <c r="BZ608" s="68"/>
      <c r="CA608" s="68"/>
      <c r="CB608" s="68"/>
      <c r="CC608" s="68"/>
    </row>
    <row r="609" spans="1:81" ht="15.75" x14ac:dyDescent="0.25">
      <c r="A609" s="68"/>
      <c r="B609" s="68"/>
      <c r="C609" s="68"/>
      <c r="D609" s="69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8"/>
      <c r="BS609" s="68"/>
      <c r="BT609" s="68"/>
      <c r="BU609" s="68"/>
      <c r="BV609" s="68"/>
      <c r="BW609" s="68"/>
      <c r="BX609" s="68"/>
      <c r="BY609" s="68"/>
      <c r="BZ609" s="68"/>
      <c r="CA609" s="68"/>
      <c r="CB609" s="68"/>
      <c r="CC609" s="68"/>
    </row>
    <row r="610" spans="1:81" ht="15.75" x14ac:dyDescent="0.25">
      <c r="A610" s="68"/>
      <c r="B610" s="68"/>
      <c r="C610" s="68"/>
      <c r="D610" s="69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  <c r="BG610" s="68"/>
      <c r="BH610" s="68"/>
      <c r="BI610" s="68"/>
      <c r="BJ610" s="68"/>
      <c r="BK610" s="68"/>
      <c r="BL610" s="68"/>
      <c r="BM610" s="68"/>
      <c r="BN610" s="68"/>
      <c r="BO610" s="68"/>
      <c r="BP610" s="68"/>
      <c r="BQ610" s="68"/>
      <c r="BR610" s="68"/>
      <c r="BS610" s="68"/>
      <c r="BT610" s="68"/>
      <c r="BU610" s="68"/>
      <c r="BV610" s="68"/>
      <c r="BW610" s="68"/>
      <c r="BX610" s="68"/>
      <c r="BY610" s="68"/>
      <c r="BZ610" s="68"/>
      <c r="CA610" s="68"/>
      <c r="CB610" s="68"/>
      <c r="CC610" s="68"/>
    </row>
    <row r="611" spans="1:81" ht="15.75" x14ac:dyDescent="0.25">
      <c r="A611" s="68"/>
      <c r="B611" s="68"/>
      <c r="C611" s="68"/>
      <c r="D611" s="69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8"/>
      <c r="BS611" s="68"/>
      <c r="BT611" s="68"/>
      <c r="BU611" s="68"/>
      <c r="BV611" s="68"/>
      <c r="BW611" s="68"/>
      <c r="BX611" s="68"/>
      <c r="BY611" s="68"/>
      <c r="BZ611" s="68"/>
      <c r="CA611" s="68"/>
      <c r="CB611" s="68"/>
      <c r="CC611" s="68"/>
    </row>
    <row r="612" spans="1:81" ht="15.75" x14ac:dyDescent="0.25">
      <c r="A612" s="68"/>
      <c r="B612" s="68"/>
      <c r="C612" s="68"/>
      <c r="D612" s="69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68"/>
      <c r="BU612" s="68"/>
      <c r="BV612" s="68"/>
      <c r="BW612" s="68"/>
      <c r="BX612" s="68"/>
      <c r="BY612" s="68"/>
      <c r="BZ612" s="68"/>
      <c r="CA612" s="68"/>
      <c r="CB612" s="68"/>
      <c r="CC612" s="68"/>
    </row>
    <row r="613" spans="1:81" ht="15.75" x14ac:dyDescent="0.25">
      <c r="A613" s="68"/>
      <c r="B613" s="68"/>
      <c r="C613" s="68"/>
      <c r="D613" s="69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68"/>
      <c r="BG613" s="68"/>
      <c r="BH613" s="68"/>
      <c r="BI613" s="68"/>
      <c r="BJ613" s="68"/>
      <c r="BK613" s="68"/>
      <c r="BL613" s="68"/>
      <c r="BM613" s="68"/>
      <c r="BN613" s="68"/>
      <c r="BO613" s="68"/>
      <c r="BP613" s="68"/>
      <c r="BQ613" s="68"/>
      <c r="BR613" s="68"/>
      <c r="BS613" s="68"/>
      <c r="BT613" s="68"/>
      <c r="BU613" s="68"/>
      <c r="BV613" s="68"/>
      <c r="BW613" s="68"/>
      <c r="BX613" s="68"/>
      <c r="BY613" s="68"/>
      <c r="BZ613" s="68"/>
      <c r="CA613" s="68"/>
      <c r="CB613" s="68"/>
      <c r="CC613" s="68"/>
    </row>
    <row r="614" spans="1:81" ht="15.75" x14ac:dyDescent="0.25">
      <c r="A614" s="68"/>
      <c r="B614" s="68"/>
      <c r="C614" s="68"/>
      <c r="D614" s="69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  <c r="BG614" s="68"/>
      <c r="BH614" s="68"/>
      <c r="BI614" s="68"/>
      <c r="BJ614" s="68"/>
      <c r="BK614" s="68"/>
      <c r="BL614" s="68"/>
      <c r="BM614" s="68"/>
      <c r="BN614" s="68"/>
      <c r="BO614" s="68"/>
      <c r="BP614" s="68"/>
      <c r="BQ614" s="68"/>
      <c r="BR614" s="68"/>
      <c r="BS614" s="68"/>
      <c r="BT614" s="68"/>
      <c r="BU614" s="68"/>
      <c r="BV614" s="68"/>
      <c r="BW614" s="68"/>
      <c r="BX614" s="68"/>
      <c r="BY614" s="68"/>
      <c r="BZ614" s="68"/>
      <c r="CA614" s="68"/>
      <c r="CB614" s="68"/>
      <c r="CC614" s="68"/>
    </row>
    <row r="615" spans="1:81" ht="15.75" x14ac:dyDescent="0.25">
      <c r="A615" s="68"/>
      <c r="B615" s="68"/>
      <c r="C615" s="68"/>
      <c r="D615" s="69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68"/>
      <c r="BG615" s="68"/>
      <c r="BH615" s="68"/>
      <c r="BI615" s="68"/>
      <c r="BJ615" s="68"/>
      <c r="BK615" s="68"/>
      <c r="BL615" s="68"/>
      <c r="BM615" s="68"/>
      <c r="BN615" s="68"/>
      <c r="BO615" s="68"/>
      <c r="BP615" s="68"/>
      <c r="BQ615" s="68"/>
      <c r="BR615" s="68"/>
      <c r="BS615" s="68"/>
      <c r="BT615" s="68"/>
      <c r="BU615" s="68"/>
      <c r="BV615" s="68"/>
      <c r="BW615" s="68"/>
      <c r="BX615" s="68"/>
      <c r="BY615" s="68"/>
      <c r="BZ615" s="68"/>
      <c r="CA615" s="68"/>
      <c r="CB615" s="68"/>
      <c r="CC615" s="68"/>
    </row>
    <row r="616" spans="1:81" ht="15.75" x14ac:dyDescent="0.25">
      <c r="A616" s="68"/>
      <c r="B616" s="68"/>
      <c r="C616" s="68"/>
      <c r="D616" s="69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  <c r="AX616" s="68"/>
      <c r="AY616" s="68"/>
      <c r="AZ616" s="68"/>
      <c r="BA616" s="68"/>
      <c r="BB616" s="68"/>
      <c r="BC616" s="68"/>
      <c r="BD616" s="68"/>
      <c r="BE616" s="68"/>
      <c r="BF616" s="68"/>
      <c r="BG616" s="68"/>
      <c r="BH616" s="68"/>
      <c r="BI616" s="68"/>
      <c r="BJ616" s="68"/>
      <c r="BK616" s="68"/>
      <c r="BL616" s="68"/>
      <c r="BM616" s="68"/>
      <c r="BN616" s="68"/>
      <c r="BO616" s="68"/>
      <c r="BP616" s="68"/>
      <c r="BQ616" s="68"/>
      <c r="BR616" s="68"/>
      <c r="BS616" s="68"/>
      <c r="BT616" s="68"/>
      <c r="BU616" s="68"/>
      <c r="BV616" s="68"/>
      <c r="BW616" s="68"/>
      <c r="BX616" s="68"/>
      <c r="BY616" s="68"/>
      <c r="BZ616" s="68"/>
      <c r="CA616" s="68"/>
      <c r="CB616" s="68"/>
      <c r="CC616" s="68"/>
    </row>
    <row r="617" spans="1:81" ht="15.75" x14ac:dyDescent="0.25">
      <c r="A617" s="68"/>
      <c r="B617" s="68"/>
      <c r="C617" s="68"/>
      <c r="D617" s="69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  <c r="BG617" s="68"/>
      <c r="BH617" s="68"/>
      <c r="BI617" s="68"/>
      <c r="BJ617" s="68"/>
      <c r="BK617" s="68"/>
      <c r="BL617" s="68"/>
      <c r="BM617" s="68"/>
      <c r="BN617" s="68"/>
      <c r="BO617" s="68"/>
      <c r="BP617" s="68"/>
      <c r="BQ617" s="68"/>
      <c r="BR617" s="68"/>
      <c r="BS617" s="68"/>
      <c r="BT617" s="68"/>
      <c r="BU617" s="68"/>
      <c r="BV617" s="68"/>
      <c r="BW617" s="68"/>
      <c r="BX617" s="68"/>
      <c r="BY617" s="68"/>
      <c r="BZ617" s="68"/>
      <c r="CA617" s="68"/>
      <c r="CB617" s="68"/>
      <c r="CC617" s="68"/>
    </row>
    <row r="618" spans="1:81" ht="15.75" x14ac:dyDescent="0.25">
      <c r="A618" s="68"/>
      <c r="B618" s="68"/>
      <c r="C618" s="68"/>
      <c r="D618" s="69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  <c r="BG618" s="68"/>
      <c r="BH618" s="68"/>
      <c r="BI618" s="68"/>
      <c r="BJ618" s="68"/>
      <c r="BK618" s="68"/>
      <c r="BL618" s="68"/>
      <c r="BM618" s="68"/>
      <c r="BN618" s="68"/>
      <c r="BO618" s="68"/>
      <c r="BP618" s="68"/>
      <c r="BQ618" s="68"/>
      <c r="BR618" s="68"/>
      <c r="BS618" s="68"/>
      <c r="BT618" s="68"/>
      <c r="BU618" s="68"/>
      <c r="BV618" s="68"/>
      <c r="BW618" s="68"/>
      <c r="BX618" s="68"/>
      <c r="BY618" s="68"/>
      <c r="BZ618" s="68"/>
      <c r="CA618" s="68"/>
      <c r="CB618" s="68"/>
      <c r="CC618" s="68"/>
    </row>
    <row r="619" spans="1:81" ht="15.75" x14ac:dyDescent="0.25">
      <c r="A619" s="68"/>
      <c r="B619" s="68"/>
      <c r="C619" s="68"/>
      <c r="D619" s="69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  <c r="BG619" s="68"/>
      <c r="BH619" s="68"/>
      <c r="BI619" s="68"/>
      <c r="BJ619" s="68"/>
      <c r="BK619" s="68"/>
      <c r="BL619" s="68"/>
      <c r="BM619" s="68"/>
      <c r="BN619" s="68"/>
      <c r="BO619" s="68"/>
      <c r="BP619" s="68"/>
      <c r="BQ619" s="68"/>
      <c r="BR619" s="68"/>
      <c r="BS619" s="68"/>
      <c r="BT619" s="68"/>
      <c r="BU619" s="68"/>
      <c r="BV619" s="68"/>
      <c r="BW619" s="68"/>
      <c r="BX619" s="68"/>
      <c r="BY619" s="68"/>
      <c r="BZ619" s="68"/>
      <c r="CA619" s="68"/>
      <c r="CB619" s="68"/>
      <c r="CC619" s="68"/>
    </row>
    <row r="620" spans="1:81" ht="15.75" x14ac:dyDescent="0.25">
      <c r="A620" s="68"/>
      <c r="B620" s="68"/>
      <c r="C620" s="68"/>
      <c r="D620" s="69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  <c r="BG620" s="68"/>
      <c r="BH620" s="68"/>
      <c r="BI620" s="68"/>
      <c r="BJ620" s="68"/>
      <c r="BK620" s="68"/>
      <c r="BL620" s="68"/>
      <c r="BM620" s="68"/>
      <c r="BN620" s="68"/>
      <c r="BO620" s="68"/>
      <c r="BP620" s="68"/>
      <c r="BQ620" s="68"/>
      <c r="BR620" s="68"/>
      <c r="BS620" s="68"/>
      <c r="BT620" s="68"/>
      <c r="BU620" s="68"/>
      <c r="BV620" s="68"/>
      <c r="BW620" s="68"/>
      <c r="BX620" s="68"/>
      <c r="BY620" s="68"/>
      <c r="BZ620" s="68"/>
      <c r="CA620" s="68"/>
      <c r="CB620" s="68"/>
      <c r="CC620" s="68"/>
    </row>
    <row r="621" spans="1:81" ht="15.75" x14ac:dyDescent="0.25">
      <c r="A621" s="68"/>
      <c r="B621" s="68"/>
      <c r="C621" s="68"/>
      <c r="D621" s="69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68"/>
      <c r="BU621" s="68"/>
      <c r="BV621" s="68"/>
      <c r="BW621" s="68"/>
      <c r="BX621" s="68"/>
      <c r="BY621" s="68"/>
      <c r="BZ621" s="68"/>
      <c r="CA621" s="68"/>
      <c r="CB621" s="68"/>
      <c r="CC621" s="68"/>
    </row>
    <row r="622" spans="1:81" ht="15.75" x14ac:dyDescent="0.25">
      <c r="A622" s="68"/>
      <c r="B622" s="68"/>
      <c r="C622" s="68"/>
      <c r="D622" s="69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  <c r="AX622" s="68"/>
      <c r="AY622" s="68"/>
      <c r="AZ622" s="68"/>
      <c r="BA622" s="68"/>
      <c r="BB622" s="68"/>
      <c r="BC622" s="68"/>
      <c r="BD622" s="68"/>
      <c r="BE622" s="68"/>
      <c r="BF622" s="68"/>
      <c r="BG622" s="68"/>
      <c r="BH622" s="68"/>
      <c r="BI622" s="68"/>
      <c r="BJ622" s="68"/>
      <c r="BK622" s="68"/>
      <c r="BL622" s="68"/>
      <c r="BM622" s="68"/>
      <c r="BN622" s="68"/>
      <c r="BO622" s="68"/>
      <c r="BP622" s="68"/>
      <c r="BQ622" s="68"/>
      <c r="BR622" s="68"/>
      <c r="BS622" s="68"/>
      <c r="BT622" s="68"/>
      <c r="BU622" s="68"/>
      <c r="BV622" s="68"/>
      <c r="BW622" s="68"/>
      <c r="BX622" s="68"/>
      <c r="BY622" s="68"/>
      <c r="BZ622" s="68"/>
      <c r="CA622" s="68"/>
      <c r="CB622" s="68"/>
      <c r="CC622" s="68"/>
    </row>
    <row r="623" spans="1:81" ht="15.75" x14ac:dyDescent="0.25">
      <c r="A623" s="68"/>
      <c r="B623" s="68"/>
      <c r="C623" s="68"/>
      <c r="D623" s="69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  <c r="BG623" s="68"/>
      <c r="BH623" s="68"/>
      <c r="BI623" s="68"/>
      <c r="BJ623" s="68"/>
      <c r="BK623" s="68"/>
      <c r="BL623" s="68"/>
      <c r="BM623" s="68"/>
      <c r="BN623" s="68"/>
      <c r="BO623" s="68"/>
      <c r="BP623" s="68"/>
      <c r="BQ623" s="68"/>
      <c r="BR623" s="68"/>
      <c r="BS623" s="68"/>
      <c r="BT623" s="68"/>
      <c r="BU623" s="68"/>
      <c r="BV623" s="68"/>
      <c r="BW623" s="68"/>
      <c r="BX623" s="68"/>
      <c r="BY623" s="68"/>
      <c r="BZ623" s="68"/>
      <c r="CA623" s="68"/>
      <c r="CB623" s="68"/>
      <c r="CC623" s="68"/>
    </row>
    <row r="624" spans="1:81" ht="15.75" x14ac:dyDescent="0.25">
      <c r="A624" s="68"/>
      <c r="B624" s="68"/>
      <c r="C624" s="68"/>
      <c r="D624" s="69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  <c r="BG624" s="68"/>
      <c r="BH624" s="68"/>
      <c r="BI624" s="68"/>
      <c r="BJ624" s="68"/>
      <c r="BK624" s="68"/>
      <c r="BL624" s="68"/>
      <c r="BM624" s="68"/>
      <c r="BN624" s="68"/>
      <c r="BO624" s="68"/>
      <c r="BP624" s="68"/>
      <c r="BQ624" s="68"/>
      <c r="BR624" s="68"/>
      <c r="BS624" s="68"/>
      <c r="BT624" s="68"/>
      <c r="BU624" s="68"/>
      <c r="BV624" s="68"/>
      <c r="BW624" s="68"/>
      <c r="BX624" s="68"/>
      <c r="BY624" s="68"/>
      <c r="BZ624" s="68"/>
      <c r="CA624" s="68"/>
      <c r="CB624" s="68"/>
      <c r="CC624" s="68"/>
    </row>
    <row r="625" spans="1:81" ht="15.75" x14ac:dyDescent="0.25">
      <c r="A625" s="68"/>
      <c r="B625" s="68"/>
      <c r="C625" s="68"/>
      <c r="D625" s="69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8"/>
      <c r="BU625" s="68"/>
      <c r="BV625" s="68"/>
      <c r="BW625" s="68"/>
      <c r="BX625" s="68"/>
      <c r="BY625" s="68"/>
      <c r="BZ625" s="68"/>
      <c r="CA625" s="68"/>
      <c r="CB625" s="68"/>
      <c r="CC625" s="68"/>
    </row>
    <row r="626" spans="1:81" ht="15.75" x14ac:dyDescent="0.25">
      <c r="A626" s="68"/>
      <c r="B626" s="68"/>
      <c r="C626" s="68"/>
      <c r="D626" s="69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  <c r="BG626" s="68"/>
      <c r="BH626" s="68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68"/>
      <c r="BU626" s="68"/>
      <c r="BV626" s="68"/>
      <c r="BW626" s="68"/>
      <c r="BX626" s="68"/>
      <c r="BY626" s="68"/>
      <c r="BZ626" s="68"/>
      <c r="CA626" s="68"/>
      <c r="CB626" s="68"/>
      <c r="CC626" s="68"/>
    </row>
    <row r="627" spans="1:81" ht="15.75" x14ac:dyDescent="0.25">
      <c r="A627" s="68"/>
      <c r="B627" s="68"/>
      <c r="C627" s="68"/>
      <c r="D627" s="69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  <c r="BG627" s="68"/>
      <c r="BH627" s="68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68"/>
      <c r="BU627" s="68"/>
      <c r="BV627" s="68"/>
      <c r="BW627" s="68"/>
      <c r="BX627" s="68"/>
      <c r="BY627" s="68"/>
      <c r="BZ627" s="68"/>
      <c r="CA627" s="68"/>
      <c r="CB627" s="68"/>
      <c r="CC627" s="68"/>
    </row>
    <row r="628" spans="1:81" ht="15.75" x14ac:dyDescent="0.25">
      <c r="A628" s="68"/>
      <c r="B628" s="68"/>
      <c r="C628" s="68"/>
      <c r="D628" s="69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D628" s="68"/>
      <c r="BE628" s="68"/>
      <c r="BF628" s="68"/>
      <c r="BG628" s="68"/>
      <c r="BH628" s="68"/>
      <c r="BI628" s="68"/>
      <c r="BJ628" s="68"/>
      <c r="BK628" s="68"/>
      <c r="BL628" s="68"/>
      <c r="BM628" s="68"/>
      <c r="BN628" s="68"/>
      <c r="BO628" s="68"/>
      <c r="BP628" s="68"/>
      <c r="BQ628" s="68"/>
      <c r="BR628" s="68"/>
      <c r="BS628" s="68"/>
      <c r="BT628" s="68"/>
      <c r="BU628" s="68"/>
      <c r="BV628" s="68"/>
      <c r="BW628" s="68"/>
      <c r="BX628" s="68"/>
      <c r="BY628" s="68"/>
      <c r="BZ628" s="68"/>
      <c r="CA628" s="68"/>
      <c r="CB628" s="68"/>
      <c r="CC628" s="68"/>
    </row>
    <row r="629" spans="1:81" ht="15.75" x14ac:dyDescent="0.25">
      <c r="A629" s="68"/>
      <c r="B629" s="68"/>
      <c r="C629" s="68"/>
      <c r="D629" s="69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  <c r="BG629" s="68"/>
      <c r="BH629" s="68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68"/>
      <c r="BU629" s="68"/>
      <c r="BV629" s="68"/>
      <c r="BW629" s="68"/>
      <c r="BX629" s="68"/>
      <c r="BY629" s="68"/>
      <c r="BZ629" s="68"/>
      <c r="CA629" s="68"/>
      <c r="CB629" s="68"/>
      <c r="CC629" s="68"/>
    </row>
    <row r="630" spans="1:81" ht="15.75" x14ac:dyDescent="0.25">
      <c r="A630" s="68"/>
      <c r="B630" s="68"/>
      <c r="C630" s="68"/>
      <c r="D630" s="69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  <c r="AX630" s="68"/>
      <c r="AY630" s="68"/>
      <c r="AZ630" s="68"/>
      <c r="BA630" s="68"/>
      <c r="BB630" s="68"/>
      <c r="BC630" s="68"/>
      <c r="BD630" s="68"/>
      <c r="BE630" s="68"/>
      <c r="BF630" s="68"/>
      <c r="BG630" s="68"/>
      <c r="BH630" s="68"/>
      <c r="BI630" s="68"/>
      <c r="BJ630" s="68"/>
      <c r="BK630" s="68"/>
      <c r="BL630" s="68"/>
      <c r="BM630" s="68"/>
      <c r="BN630" s="68"/>
      <c r="BO630" s="68"/>
      <c r="BP630" s="68"/>
      <c r="BQ630" s="68"/>
      <c r="BR630" s="68"/>
      <c r="BS630" s="68"/>
      <c r="BT630" s="68"/>
      <c r="BU630" s="68"/>
      <c r="BV630" s="68"/>
      <c r="BW630" s="68"/>
      <c r="BX630" s="68"/>
      <c r="BY630" s="68"/>
      <c r="BZ630" s="68"/>
      <c r="CA630" s="68"/>
      <c r="CB630" s="68"/>
      <c r="CC630" s="68"/>
    </row>
    <row r="631" spans="1:81" ht="15.75" x14ac:dyDescent="0.25">
      <c r="A631" s="68"/>
      <c r="B631" s="68"/>
      <c r="C631" s="68"/>
      <c r="D631" s="69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8"/>
      <c r="BS631" s="68"/>
      <c r="BT631" s="68"/>
      <c r="BU631" s="68"/>
      <c r="BV631" s="68"/>
      <c r="BW631" s="68"/>
      <c r="BX631" s="68"/>
      <c r="BY631" s="68"/>
      <c r="BZ631" s="68"/>
      <c r="CA631" s="68"/>
      <c r="CB631" s="68"/>
      <c r="CC631" s="68"/>
    </row>
    <row r="632" spans="1:81" ht="15.75" x14ac:dyDescent="0.25">
      <c r="A632" s="68"/>
      <c r="B632" s="68"/>
      <c r="C632" s="68"/>
      <c r="D632" s="69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8"/>
      <c r="BS632" s="68"/>
      <c r="BT632" s="68"/>
      <c r="BU632" s="68"/>
      <c r="BV632" s="68"/>
      <c r="BW632" s="68"/>
      <c r="BX632" s="68"/>
      <c r="BY632" s="68"/>
      <c r="BZ632" s="68"/>
      <c r="CA632" s="68"/>
      <c r="CB632" s="68"/>
      <c r="CC632" s="68"/>
    </row>
    <row r="633" spans="1:81" ht="15.75" x14ac:dyDescent="0.25">
      <c r="A633" s="68"/>
      <c r="B633" s="68"/>
      <c r="C633" s="68"/>
      <c r="D633" s="69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8"/>
      <c r="BS633" s="68"/>
      <c r="BT633" s="68"/>
      <c r="BU633" s="68"/>
      <c r="BV633" s="68"/>
      <c r="BW633" s="68"/>
      <c r="BX633" s="68"/>
      <c r="BY633" s="68"/>
      <c r="BZ633" s="68"/>
      <c r="CA633" s="68"/>
      <c r="CB633" s="68"/>
      <c r="CC633" s="68"/>
    </row>
    <row r="634" spans="1:81" ht="15.75" x14ac:dyDescent="0.25">
      <c r="A634" s="68"/>
      <c r="B634" s="68"/>
      <c r="C634" s="68"/>
      <c r="D634" s="69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  <c r="BG634" s="68"/>
      <c r="BH634" s="68"/>
      <c r="BI634" s="68"/>
      <c r="BJ634" s="68"/>
      <c r="BK634" s="68"/>
      <c r="BL634" s="68"/>
      <c r="BM634" s="68"/>
      <c r="BN634" s="68"/>
      <c r="BO634" s="68"/>
      <c r="BP634" s="68"/>
      <c r="BQ634" s="68"/>
      <c r="BR634" s="68"/>
      <c r="BS634" s="68"/>
      <c r="BT634" s="68"/>
      <c r="BU634" s="68"/>
      <c r="BV634" s="68"/>
      <c r="BW634" s="68"/>
      <c r="BX634" s="68"/>
      <c r="BY634" s="68"/>
      <c r="BZ634" s="68"/>
      <c r="CA634" s="68"/>
      <c r="CB634" s="68"/>
      <c r="CC634" s="68"/>
    </row>
    <row r="635" spans="1:81" ht="15.75" x14ac:dyDescent="0.25">
      <c r="A635" s="68"/>
      <c r="B635" s="68"/>
      <c r="C635" s="68"/>
      <c r="D635" s="69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8"/>
      <c r="BS635" s="68"/>
      <c r="BT635" s="68"/>
      <c r="BU635" s="68"/>
      <c r="BV635" s="68"/>
      <c r="BW635" s="68"/>
      <c r="BX635" s="68"/>
      <c r="BY635" s="68"/>
      <c r="BZ635" s="68"/>
      <c r="CA635" s="68"/>
      <c r="CB635" s="68"/>
      <c r="CC635" s="68"/>
    </row>
    <row r="636" spans="1:81" ht="15.75" x14ac:dyDescent="0.25">
      <c r="A636" s="68"/>
      <c r="B636" s="68"/>
      <c r="C636" s="68"/>
      <c r="D636" s="69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  <c r="AX636" s="68"/>
      <c r="AY636" s="68"/>
      <c r="AZ636" s="68"/>
      <c r="BA636" s="68"/>
      <c r="BB636" s="68"/>
      <c r="BC636" s="68"/>
      <c r="BD636" s="68"/>
      <c r="BE636" s="68"/>
      <c r="BF636" s="68"/>
      <c r="BG636" s="68"/>
      <c r="BH636" s="68"/>
      <c r="BI636" s="68"/>
      <c r="BJ636" s="68"/>
      <c r="BK636" s="68"/>
      <c r="BL636" s="68"/>
      <c r="BM636" s="68"/>
      <c r="BN636" s="68"/>
      <c r="BO636" s="68"/>
      <c r="BP636" s="68"/>
      <c r="BQ636" s="68"/>
      <c r="BR636" s="68"/>
      <c r="BS636" s="68"/>
      <c r="BT636" s="68"/>
      <c r="BU636" s="68"/>
      <c r="BV636" s="68"/>
      <c r="BW636" s="68"/>
      <c r="BX636" s="68"/>
      <c r="BY636" s="68"/>
      <c r="BZ636" s="68"/>
      <c r="CA636" s="68"/>
      <c r="CB636" s="68"/>
      <c r="CC636" s="68"/>
    </row>
    <row r="637" spans="1:81" ht="15.75" x14ac:dyDescent="0.25">
      <c r="A637" s="68"/>
      <c r="B637" s="68"/>
      <c r="C637" s="68"/>
      <c r="D637" s="69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8"/>
      <c r="BS637" s="68"/>
      <c r="BT637" s="68"/>
      <c r="BU637" s="68"/>
      <c r="BV637" s="68"/>
      <c r="BW637" s="68"/>
      <c r="BX637" s="68"/>
      <c r="BY637" s="68"/>
      <c r="BZ637" s="68"/>
      <c r="CA637" s="68"/>
      <c r="CB637" s="68"/>
      <c r="CC637" s="68"/>
    </row>
    <row r="638" spans="1:81" ht="15.75" x14ac:dyDescent="0.25">
      <c r="A638" s="68"/>
      <c r="B638" s="68"/>
      <c r="C638" s="68"/>
      <c r="D638" s="69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  <c r="BA638" s="68"/>
      <c r="BB638" s="68"/>
      <c r="BC638" s="68"/>
      <c r="BD638" s="68"/>
      <c r="BE638" s="68"/>
      <c r="BF638" s="68"/>
      <c r="BG638" s="68"/>
      <c r="BH638" s="68"/>
      <c r="BI638" s="68"/>
      <c r="BJ638" s="68"/>
      <c r="BK638" s="68"/>
      <c r="BL638" s="68"/>
      <c r="BM638" s="68"/>
      <c r="BN638" s="68"/>
      <c r="BO638" s="68"/>
      <c r="BP638" s="68"/>
      <c r="BQ638" s="68"/>
      <c r="BR638" s="68"/>
      <c r="BS638" s="68"/>
      <c r="BT638" s="68"/>
      <c r="BU638" s="68"/>
      <c r="BV638" s="68"/>
      <c r="BW638" s="68"/>
      <c r="BX638" s="68"/>
      <c r="BY638" s="68"/>
      <c r="BZ638" s="68"/>
      <c r="CA638" s="68"/>
      <c r="CB638" s="68"/>
      <c r="CC638" s="68"/>
    </row>
    <row r="639" spans="1:81" ht="15.75" x14ac:dyDescent="0.25">
      <c r="A639" s="68"/>
      <c r="B639" s="68"/>
      <c r="C639" s="68"/>
      <c r="D639" s="69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8"/>
      <c r="BS639" s="68"/>
      <c r="BT639" s="68"/>
      <c r="BU639" s="68"/>
      <c r="BV639" s="68"/>
      <c r="BW639" s="68"/>
      <c r="BX639" s="68"/>
      <c r="BY639" s="68"/>
      <c r="BZ639" s="68"/>
      <c r="CA639" s="68"/>
      <c r="CB639" s="68"/>
      <c r="CC639" s="68"/>
    </row>
    <row r="640" spans="1:81" ht="15.75" x14ac:dyDescent="0.25">
      <c r="A640" s="68"/>
      <c r="B640" s="68"/>
      <c r="C640" s="68"/>
      <c r="D640" s="69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  <c r="BA640" s="68"/>
      <c r="BB640" s="68"/>
      <c r="BC640" s="68"/>
      <c r="BD640" s="68"/>
      <c r="BE640" s="68"/>
      <c r="BF640" s="68"/>
      <c r="BG640" s="68"/>
      <c r="BH640" s="68"/>
      <c r="BI640" s="68"/>
      <c r="BJ640" s="68"/>
      <c r="BK640" s="68"/>
      <c r="BL640" s="68"/>
      <c r="BM640" s="68"/>
      <c r="BN640" s="68"/>
      <c r="BO640" s="68"/>
      <c r="BP640" s="68"/>
      <c r="BQ640" s="68"/>
      <c r="BR640" s="68"/>
      <c r="BS640" s="68"/>
      <c r="BT640" s="68"/>
      <c r="BU640" s="68"/>
      <c r="BV640" s="68"/>
      <c r="BW640" s="68"/>
      <c r="BX640" s="68"/>
      <c r="BY640" s="68"/>
      <c r="BZ640" s="68"/>
      <c r="CA640" s="68"/>
      <c r="CB640" s="68"/>
      <c r="CC640" s="68"/>
    </row>
    <row r="641" spans="1:81" ht="15.75" x14ac:dyDescent="0.25">
      <c r="A641" s="68"/>
      <c r="B641" s="68"/>
      <c r="C641" s="68"/>
      <c r="D641" s="69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  <c r="BA641" s="68"/>
      <c r="BB641" s="68"/>
      <c r="BC641" s="68"/>
      <c r="BD641" s="68"/>
      <c r="BE641" s="68"/>
      <c r="BF641" s="68"/>
      <c r="BG641" s="68"/>
      <c r="BH641" s="68"/>
      <c r="BI641" s="68"/>
      <c r="BJ641" s="68"/>
      <c r="BK641" s="68"/>
      <c r="BL641" s="68"/>
      <c r="BM641" s="68"/>
      <c r="BN641" s="68"/>
      <c r="BO641" s="68"/>
      <c r="BP641" s="68"/>
      <c r="BQ641" s="68"/>
      <c r="BR641" s="68"/>
      <c r="BS641" s="68"/>
      <c r="BT641" s="68"/>
      <c r="BU641" s="68"/>
      <c r="BV641" s="68"/>
      <c r="BW641" s="68"/>
      <c r="BX641" s="68"/>
      <c r="BY641" s="68"/>
      <c r="BZ641" s="68"/>
      <c r="CA641" s="68"/>
      <c r="CB641" s="68"/>
      <c r="CC641" s="68"/>
    </row>
    <row r="642" spans="1:81" ht="15.75" x14ac:dyDescent="0.25">
      <c r="A642" s="68"/>
      <c r="B642" s="68"/>
      <c r="C642" s="68"/>
      <c r="D642" s="69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  <c r="BG642" s="68"/>
      <c r="BH642" s="68"/>
      <c r="BI642" s="68"/>
      <c r="BJ642" s="68"/>
      <c r="BK642" s="68"/>
      <c r="BL642" s="68"/>
      <c r="BM642" s="68"/>
      <c r="BN642" s="68"/>
      <c r="BO642" s="68"/>
      <c r="BP642" s="68"/>
      <c r="BQ642" s="68"/>
      <c r="BR642" s="68"/>
      <c r="BS642" s="68"/>
      <c r="BT642" s="68"/>
      <c r="BU642" s="68"/>
      <c r="BV642" s="68"/>
      <c r="BW642" s="68"/>
      <c r="BX642" s="68"/>
      <c r="BY642" s="68"/>
      <c r="BZ642" s="68"/>
      <c r="CA642" s="68"/>
      <c r="CB642" s="68"/>
      <c r="CC642" s="68"/>
    </row>
    <row r="643" spans="1:81" ht="15.75" x14ac:dyDescent="0.25">
      <c r="A643" s="68"/>
      <c r="B643" s="68"/>
      <c r="C643" s="68"/>
      <c r="D643" s="69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/>
      <c r="BD643" s="68"/>
      <c r="BE643" s="68"/>
      <c r="BF643" s="68"/>
      <c r="BG643" s="68"/>
      <c r="BH643" s="68"/>
      <c r="BI643" s="68"/>
      <c r="BJ643" s="68"/>
      <c r="BK643" s="68"/>
      <c r="BL643" s="68"/>
      <c r="BM643" s="68"/>
      <c r="BN643" s="68"/>
      <c r="BO643" s="68"/>
      <c r="BP643" s="68"/>
      <c r="BQ643" s="68"/>
      <c r="BR643" s="68"/>
      <c r="BS643" s="68"/>
      <c r="BT643" s="68"/>
      <c r="BU643" s="68"/>
      <c r="BV643" s="68"/>
      <c r="BW643" s="68"/>
      <c r="BX643" s="68"/>
      <c r="BY643" s="68"/>
      <c r="BZ643" s="68"/>
      <c r="CA643" s="68"/>
      <c r="CB643" s="68"/>
      <c r="CC643" s="68"/>
    </row>
    <row r="644" spans="1:81" ht="15.75" x14ac:dyDescent="0.25">
      <c r="A644" s="68"/>
      <c r="B644" s="68"/>
      <c r="C644" s="68"/>
      <c r="D644" s="69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8"/>
      <c r="BS644" s="68"/>
      <c r="BT644" s="68"/>
      <c r="BU644" s="68"/>
      <c r="BV644" s="68"/>
      <c r="BW644" s="68"/>
      <c r="BX644" s="68"/>
      <c r="BY644" s="68"/>
      <c r="BZ644" s="68"/>
      <c r="CA644" s="68"/>
      <c r="CB644" s="68"/>
      <c r="CC644" s="68"/>
    </row>
    <row r="645" spans="1:81" ht="15.75" x14ac:dyDescent="0.25">
      <c r="A645" s="68"/>
      <c r="B645" s="68"/>
      <c r="C645" s="68"/>
      <c r="D645" s="69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/>
      <c r="BD645" s="68"/>
      <c r="BE645" s="68"/>
      <c r="BF645" s="68"/>
      <c r="BG645" s="68"/>
      <c r="BH645" s="68"/>
      <c r="BI645" s="68"/>
      <c r="BJ645" s="68"/>
      <c r="BK645" s="68"/>
      <c r="BL645" s="68"/>
      <c r="BM645" s="68"/>
      <c r="BN645" s="68"/>
      <c r="BO645" s="68"/>
      <c r="BP645" s="68"/>
      <c r="BQ645" s="68"/>
      <c r="BR645" s="68"/>
      <c r="BS645" s="68"/>
      <c r="BT645" s="68"/>
      <c r="BU645" s="68"/>
      <c r="BV645" s="68"/>
      <c r="BW645" s="68"/>
      <c r="BX645" s="68"/>
      <c r="BY645" s="68"/>
      <c r="BZ645" s="68"/>
      <c r="CA645" s="68"/>
      <c r="CB645" s="68"/>
      <c r="CC645" s="68"/>
    </row>
    <row r="646" spans="1:81" ht="15.75" x14ac:dyDescent="0.25">
      <c r="A646" s="68"/>
      <c r="B646" s="68"/>
      <c r="C646" s="68"/>
      <c r="D646" s="69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  <c r="BA646" s="68"/>
      <c r="BB646" s="68"/>
      <c r="BC646" s="68"/>
      <c r="BD646" s="68"/>
      <c r="BE646" s="68"/>
      <c r="BF646" s="68"/>
      <c r="BG646" s="68"/>
      <c r="BH646" s="68"/>
      <c r="BI646" s="68"/>
      <c r="BJ646" s="68"/>
      <c r="BK646" s="68"/>
      <c r="BL646" s="68"/>
      <c r="BM646" s="68"/>
      <c r="BN646" s="68"/>
      <c r="BO646" s="68"/>
      <c r="BP646" s="68"/>
      <c r="BQ646" s="68"/>
      <c r="BR646" s="68"/>
      <c r="BS646" s="68"/>
      <c r="BT646" s="68"/>
      <c r="BU646" s="68"/>
      <c r="BV646" s="68"/>
      <c r="BW646" s="68"/>
      <c r="BX646" s="68"/>
      <c r="BY646" s="68"/>
      <c r="BZ646" s="68"/>
      <c r="CA646" s="68"/>
      <c r="CB646" s="68"/>
      <c r="CC646" s="68"/>
    </row>
    <row r="647" spans="1:81" ht="15.75" x14ac:dyDescent="0.25">
      <c r="A647" s="68"/>
      <c r="B647" s="68"/>
      <c r="C647" s="68"/>
      <c r="D647" s="69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68"/>
      <c r="BU647" s="68"/>
      <c r="BV647" s="68"/>
      <c r="BW647" s="68"/>
      <c r="BX647" s="68"/>
      <c r="BY647" s="68"/>
      <c r="BZ647" s="68"/>
      <c r="CA647" s="68"/>
      <c r="CB647" s="68"/>
      <c r="CC647" s="68"/>
    </row>
    <row r="648" spans="1:81" ht="15.75" x14ac:dyDescent="0.25">
      <c r="A648" s="68"/>
      <c r="B648" s="68"/>
      <c r="C648" s="68"/>
      <c r="D648" s="69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68"/>
      <c r="BU648" s="68"/>
      <c r="BV648" s="68"/>
      <c r="BW648" s="68"/>
      <c r="BX648" s="68"/>
      <c r="BY648" s="68"/>
      <c r="BZ648" s="68"/>
      <c r="CA648" s="68"/>
      <c r="CB648" s="68"/>
      <c r="CC648" s="68"/>
    </row>
    <row r="649" spans="1:81" ht="15.75" x14ac:dyDescent="0.25">
      <c r="A649" s="68"/>
      <c r="B649" s="68"/>
      <c r="C649" s="68"/>
      <c r="D649" s="69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8"/>
      <c r="BS649" s="68"/>
      <c r="BT649" s="68"/>
      <c r="BU649" s="68"/>
      <c r="BV649" s="68"/>
      <c r="BW649" s="68"/>
      <c r="BX649" s="68"/>
      <c r="BY649" s="68"/>
      <c r="BZ649" s="68"/>
      <c r="CA649" s="68"/>
      <c r="CB649" s="68"/>
      <c r="CC649" s="68"/>
    </row>
    <row r="650" spans="1:81" ht="15.75" x14ac:dyDescent="0.25">
      <c r="A650" s="68"/>
      <c r="B650" s="68"/>
      <c r="C650" s="68"/>
      <c r="D650" s="69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8"/>
      <c r="BS650" s="68"/>
      <c r="BT650" s="68"/>
      <c r="BU650" s="68"/>
      <c r="BV650" s="68"/>
      <c r="BW650" s="68"/>
      <c r="BX650" s="68"/>
      <c r="BY650" s="68"/>
      <c r="BZ650" s="68"/>
      <c r="CA650" s="68"/>
      <c r="CB650" s="68"/>
      <c r="CC650" s="68"/>
    </row>
    <row r="651" spans="1:81" ht="15.75" x14ac:dyDescent="0.25">
      <c r="A651" s="68"/>
      <c r="B651" s="68"/>
      <c r="C651" s="68"/>
      <c r="D651" s="69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  <c r="BG651" s="68"/>
      <c r="BH651" s="68"/>
      <c r="BI651" s="68"/>
      <c r="BJ651" s="68"/>
      <c r="BK651" s="68"/>
      <c r="BL651" s="68"/>
      <c r="BM651" s="68"/>
      <c r="BN651" s="68"/>
      <c r="BO651" s="68"/>
      <c r="BP651" s="68"/>
      <c r="BQ651" s="68"/>
      <c r="BR651" s="68"/>
      <c r="BS651" s="68"/>
      <c r="BT651" s="68"/>
      <c r="BU651" s="68"/>
      <c r="BV651" s="68"/>
      <c r="BW651" s="68"/>
      <c r="BX651" s="68"/>
      <c r="BY651" s="68"/>
      <c r="BZ651" s="68"/>
      <c r="CA651" s="68"/>
      <c r="CB651" s="68"/>
      <c r="CC651" s="68"/>
    </row>
    <row r="652" spans="1:81" ht="15.75" x14ac:dyDescent="0.25">
      <c r="A652" s="68"/>
      <c r="B652" s="68"/>
      <c r="C652" s="68"/>
      <c r="D652" s="69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  <c r="BA652" s="68"/>
      <c r="BB652" s="68"/>
      <c r="BC652" s="68"/>
      <c r="BD652" s="68"/>
      <c r="BE652" s="68"/>
      <c r="BF652" s="68"/>
      <c r="BG652" s="68"/>
      <c r="BH652" s="68"/>
      <c r="BI652" s="68"/>
      <c r="BJ652" s="68"/>
      <c r="BK652" s="68"/>
      <c r="BL652" s="68"/>
      <c r="BM652" s="68"/>
      <c r="BN652" s="68"/>
      <c r="BO652" s="68"/>
      <c r="BP652" s="68"/>
      <c r="BQ652" s="68"/>
      <c r="BR652" s="68"/>
      <c r="BS652" s="68"/>
      <c r="BT652" s="68"/>
      <c r="BU652" s="68"/>
      <c r="BV652" s="68"/>
      <c r="BW652" s="68"/>
      <c r="BX652" s="68"/>
      <c r="BY652" s="68"/>
      <c r="BZ652" s="68"/>
      <c r="CA652" s="68"/>
      <c r="CB652" s="68"/>
      <c r="CC652" s="68"/>
    </row>
    <row r="653" spans="1:81" ht="15.75" x14ac:dyDescent="0.25">
      <c r="A653" s="68"/>
      <c r="B653" s="68"/>
      <c r="C653" s="68"/>
      <c r="D653" s="69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  <c r="BA653" s="68"/>
      <c r="BB653" s="68"/>
      <c r="BC653" s="68"/>
      <c r="BD653" s="68"/>
      <c r="BE653" s="68"/>
      <c r="BF653" s="68"/>
      <c r="BG653" s="68"/>
      <c r="BH653" s="68"/>
      <c r="BI653" s="68"/>
      <c r="BJ653" s="68"/>
      <c r="BK653" s="68"/>
      <c r="BL653" s="68"/>
      <c r="BM653" s="68"/>
      <c r="BN653" s="68"/>
      <c r="BO653" s="68"/>
      <c r="BP653" s="68"/>
      <c r="BQ653" s="68"/>
      <c r="BR653" s="68"/>
      <c r="BS653" s="68"/>
      <c r="BT653" s="68"/>
      <c r="BU653" s="68"/>
      <c r="BV653" s="68"/>
      <c r="BW653" s="68"/>
      <c r="BX653" s="68"/>
      <c r="BY653" s="68"/>
      <c r="BZ653" s="68"/>
      <c r="CA653" s="68"/>
      <c r="CB653" s="68"/>
      <c r="CC653" s="68"/>
    </row>
    <row r="654" spans="1:81" ht="15.75" x14ac:dyDescent="0.25">
      <c r="A654" s="68"/>
      <c r="B654" s="68"/>
      <c r="C654" s="68"/>
      <c r="D654" s="69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  <c r="BG654" s="68"/>
      <c r="BH654" s="68"/>
      <c r="BI654" s="68"/>
      <c r="BJ654" s="68"/>
      <c r="BK654" s="68"/>
      <c r="BL654" s="68"/>
      <c r="BM654" s="68"/>
      <c r="BN654" s="68"/>
      <c r="BO654" s="68"/>
      <c r="BP654" s="68"/>
      <c r="BQ654" s="68"/>
      <c r="BR654" s="68"/>
      <c r="BS654" s="68"/>
      <c r="BT654" s="68"/>
      <c r="BU654" s="68"/>
      <c r="BV654" s="68"/>
      <c r="BW654" s="68"/>
      <c r="BX654" s="68"/>
      <c r="BY654" s="68"/>
      <c r="BZ654" s="68"/>
      <c r="CA654" s="68"/>
      <c r="CB654" s="68"/>
      <c r="CC654" s="68"/>
    </row>
    <row r="655" spans="1:81" ht="15.75" x14ac:dyDescent="0.25">
      <c r="A655" s="68"/>
      <c r="B655" s="68"/>
      <c r="C655" s="68"/>
      <c r="D655" s="69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68"/>
      <c r="AW655" s="68"/>
      <c r="AX655" s="68"/>
      <c r="AY655" s="68"/>
      <c r="AZ655" s="68"/>
      <c r="BA655" s="68"/>
      <c r="BB655" s="68"/>
      <c r="BC655" s="68"/>
      <c r="BD655" s="68"/>
      <c r="BE655" s="68"/>
      <c r="BF655" s="68"/>
      <c r="BG655" s="68"/>
      <c r="BH655" s="68"/>
      <c r="BI655" s="68"/>
      <c r="BJ655" s="68"/>
      <c r="BK655" s="68"/>
      <c r="BL655" s="68"/>
      <c r="BM655" s="68"/>
      <c r="BN655" s="68"/>
      <c r="BO655" s="68"/>
      <c r="BP655" s="68"/>
      <c r="BQ655" s="68"/>
      <c r="BR655" s="68"/>
      <c r="BS655" s="68"/>
      <c r="BT655" s="68"/>
      <c r="BU655" s="68"/>
      <c r="BV655" s="68"/>
      <c r="BW655" s="68"/>
      <c r="BX655" s="68"/>
      <c r="BY655" s="68"/>
      <c r="BZ655" s="68"/>
      <c r="CA655" s="68"/>
      <c r="CB655" s="68"/>
      <c r="CC655" s="68"/>
    </row>
    <row r="656" spans="1:81" ht="15.75" x14ac:dyDescent="0.25">
      <c r="A656" s="68"/>
      <c r="B656" s="68"/>
      <c r="C656" s="68"/>
      <c r="D656" s="69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68"/>
      <c r="AW656" s="68"/>
      <c r="AX656" s="68"/>
      <c r="AY656" s="68"/>
      <c r="AZ656" s="68"/>
      <c r="BA656" s="68"/>
      <c r="BB656" s="68"/>
      <c r="BC656" s="68"/>
      <c r="BD656" s="68"/>
      <c r="BE656" s="68"/>
      <c r="BF656" s="68"/>
      <c r="BG656" s="68"/>
      <c r="BH656" s="68"/>
      <c r="BI656" s="68"/>
      <c r="BJ656" s="68"/>
      <c r="BK656" s="68"/>
      <c r="BL656" s="68"/>
      <c r="BM656" s="68"/>
      <c r="BN656" s="68"/>
      <c r="BO656" s="68"/>
      <c r="BP656" s="68"/>
      <c r="BQ656" s="68"/>
      <c r="BR656" s="68"/>
      <c r="BS656" s="68"/>
      <c r="BT656" s="68"/>
      <c r="BU656" s="68"/>
      <c r="BV656" s="68"/>
      <c r="BW656" s="68"/>
      <c r="BX656" s="68"/>
      <c r="BY656" s="68"/>
      <c r="BZ656" s="68"/>
      <c r="CA656" s="68"/>
      <c r="CB656" s="68"/>
      <c r="CC656" s="68"/>
    </row>
    <row r="657" spans="1:81" ht="15.75" x14ac:dyDescent="0.25">
      <c r="A657" s="68"/>
      <c r="B657" s="68"/>
      <c r="C657" s="68"/>
      <c r="D657" s="69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68"/>
      <c r="AW657" s="68"/>
      <c r="AX657" s="68"/>
      <c r="AY657" s="68"/>
      <c r="AZ657" s="68"/>
      <c r="BA657" s="68"/>
      <c r="BB657" s="68"/>
      <c r="BC657" s="68"/>
      <c r="BD657" s="68"/>
      <c r="BE657" s="68"/>
      <c r="BF657" s="68"/>
      <c r="BG657" s="68"/>
      <c r="BH657" s="68"/>
      <c r="BI657" s="68"/>
      <c r="BJ657" s="68"/>
      <c r="BK657" s="68"/>
      <c r="BL657" s="68"/>
      <c r="BM657" s="68"/>
      <c r="BN657" s="68"/>
      <c r="BO657" s="68"/>
      <c r="BP657" s="68"/>
      <c r="BQ657" s="68"/>
      <c r="BR657" s="68"/>
      <c r="BS657" s="68"/>
      <c r="BT657" s="68"/>
      <c r="BU657" s="68"/>
      <c r="BV657" s="68"/>
      <c r="BW657" s="68"/>
      <c r="BX657" s="68"/>
      <c r="BY657" s="68"/>
      <c r="BZ657" s="68"/>
      <c r="CA657" s="68"/>
      <c r="CB657" s="68"/>
      <c r="CC657" s="68"/>
    </row>
    <row r="658" spans="1:81" ht="15.75" x14ac:dyDescent="0.25">
      <c r="A658" s="68"/>
      <c r="B658" s="68"/>
      <c r="C658" s="68"/>
      <c r="D658" s="69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68"/>
      <c r="AR658" s="68"/>
      <c r="AS658" s="68"/>
      <c r="AT658" s="68"/>
      <c r="AU658" s="68"/>
      <c r="AV658" s="68"/>
      <c r="AW658" s="68"/>
      <c r="AX658" s="68"/>
      <c r="AY658" s="68"/>
      <c r="AZ658" s="68"/>
      <c r="BA658" s="68"/>
      <c r="BB658" s="68"/>
      <c r="BC658" s="68"/>
      <c r="BD658" s="68"/>
      <c r="BE658" s="68"/>
      <c r="BF658" s="68"/>
      <c r="BG658" s="68"/>
      <c r="BH658" s="68"/>
      <c r="BI658" s="68"/>
      <c r="BJ658" s="68"/>
      <c r="BK658" s="68"/>
      <c r="BL658" s="68"/>
      <c r="BM658" s="68"/>
      <c r="BN658" s="68"/>
      <c r="BO658" s="68"/>
      <c r="BP658" s="68"/>
      <c r="BQ658" s="68"/>
      <c r="BR658" s="68"/>
      <c r="BS658" s="68"/>
      <c r="BT658" s="68"/>
      <c r="BU658" s="68"/>
      <c r="BV658" s="68"/>
      <c r="BW658" s="68"/>
      <c r="BX658" s="68"/>
      <c r="BY658" s="68"/>
      <c r="BZ658" s="68"/>
      <c r="CA658" s="68"/>
      <c r="CB658" s="68"/>
      <c r="CC658" s="68"/>
    </row>
    <row r="659" spans="1:81" ht="15.75" x14ac:dyDescent="0.25">
      <c r="A659" s="68"/>
      <c r="B659" s="68"/>
      <c r="C659" s="68"/>
      <c r="D659" s="69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  <c r="AR659" s="68"/>
      <c r="AS659" s="68"/>
      <c r="AT659" s="68"/>
      <c r="AU659" s="68"/>
      <c r="AV659" s="68"/>
      <c r="AW659" s="68"/>
      <c r="AX659" s="68"/>
      <c r="AY659" s="68"/>
      <c r="AZ659" s="68"/>
      <c r="BA659" s="68"/>
      <c r="BB659" s="68"/>
      <c r="BC659" s="68"/>
      <c r="BD659" s="68"/>
      <c r="BE659" s="68"/>
      <c r="BF659" s="68"/>
      <c r="BG659" s="68"/>
      <c r="BH659" s="68"/>
      <c r="BI659" s="68"/>
      <c r="BJ659" s="68"/>
      <c r="BK659" s="68"/>
      <c r="BL659" s="68"/>
      <c r="BM659" s="68"/>
      <c r="BN659" s="68"/>
      <c r="BO659" s="68"/>
      <c r="BP659" s="68"/>
      <c r="BQ659" s="68"/>
      <c r="BR659" s="68"/>
      <c r="BS659" s="68"/>
      <c r="BT659" s="68"/>
      <c r="BU659" s="68"/>
      <c r="BV659" s="68"/>
      <c r="BW659" s="68"/>
      <c r="BX659" s="68"/>
      <c r="BY659" s="68"/>
      <c r="BZ659" s="68"/>
      <c r="CA659" s="68"/>
      <c r="CB659" s="68"/>
      <c r="CC659" s="68"/>
    </row>
    <row r="660" spans="1:81" ht="15.75" x14ac:dyDescent="0.25">
      <c r="A660" s="68"/>
      <c r="B660" s="68"/>
      <c r="C660" s="68"/>
      <c r="D660" s="69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8"/>
      <c r="BS660" s="68"/>
      <c r="BT660" s="68"/>
      <c r="BU660" s="68"/>
      <c r="BV660" s="68"/>
      <c r="BW660" s="68"/>
      <c r="BX660" s="68"/>
      <c r="BY660" s="68"/>
      <c r="BZ660" s="68"/>
      <c r="CA660" s="68"/>
      <c r="CB660" s="68"/>
      <c r="CC660" s="68"/>
    </row>
    <row r="661" spans="1:81" ht="15.75" x14ac:dyDescent="0.25">
      <c r="A661" s="68"/>
      <c r="B661" s="68"/>
      <c r="C661" s="68"/>
      <c r="D661" s="69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  <c r="AW661" s="68"/>
      <c r="AX661" s="68"/>
      <c r="AY661" s="68"/>
      <c r="AZ661" s="68"/>
      <c r="BA661" s="68"/>
      <c r="BB661" s="68"/>
      <c r="BC661" s="68"/>
      <c r="BD661" s="68"/>
      <c r="BE661" s="68"/>
      <c r="BF661" s="68"/>
      <c r="BG661" s="68"/>
      <c r="BH661" s="68"/>
      <c r="BI661" s="68"/>
      <c r="BJ661" s="68"/>
      <c r="BK661" s="68"/>
      <c r="BL661" s="68"/>
      <c r="BM661" s="68"/>
      <c r="BN661" s="68"/>
      <c r="BO661" s="68"/>
      <c r="BP661" s="68"/>
      <c r="BQ661" s="68"/>
      <c r="BR661" s="68"/>
      <c r="BS661" s="68"/>
      <c r="BT661" s="68"/>
      <c r="BU661" s="68"/>
      <c r="BV661" s="68"/>
      <c r="BW661" s="68"/>
      <c r="BX661" s="68"/>
      <c r="BY661" s="68"/>
      <c r="BZ661" s="68"/>
      <c r="CA661" s="68"/>
      <c r="CB661" s="68"/>
      <c r="CC661" s="68"/>
    </row>
    <row r="662" spans="1:81" ht="15.75" x14ac:dyDescent="0.25">
      <c r="A662" s="68"/>
      <c r="B662" s="68"/>
      <c r="C662" s="68"/>
      <c r="D662" s="69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68"/>
      <c r="AW662" s="68"/>
      <c r="AX662" s="68"/>
      <c r="AY662" s="68"/>
      <c r="AZ662" s="68"/>
      <c r="BA662" s="68"/>
      <c r="BB662" s="68"/>
      <c r="BC662" s="68"/>
      <c r="BD662" s="68"/>
      <c r="BE662" s="68"/>
      <c r="BF662" s="68"/>
      <c r="BG662" s="68"/>
      <c r="BH662" s="68"/>
      <c r="BI662" s="68"/>
      <c r="BJ662" s="68"/>
      <c r="BK662" s="68"/>
      <c r="BL662" s="68"/>
      <c r="BM662" s="68"/>
      <c r="BN662" s="68"/>
      <c r="BO662" s="68"/>
      <c r="BP662" s="68"/>
      <c r="BQ662" s="68"/>
      <c r="BR662" s="68"/>
      <c r="BS662" s="68"/>
      <c r="BT662" s="68"/>
      <c r="BU662" s="68"/>
      <c r="BV662" s="68"/>
      <c r="BW662" s="68"/>
      <c r="BX662" s="68"/>
      <c r="BY662" s="68"/>
      <c r="BZ662" s="68"/>
      <c r="CA662" s="68"/>
      <c r="CB662" s="68"/>
      <c r="CC662" s="68"/>
    </row>
    <row r="663" spans="1:81" ht="15.75" x14ac:dyDescent="0.25">
      <c r="A663" s="68"/>
      <c r="B663" s="68"/>
      <c r="C663" s="68"/>
      <c r="D663" s="69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  <c r="BA663" s="68"/>
      <c r="BB663" s="68"/>
      <c r="BC663" s="68"/>
      <c r="BD663" s="68"/>
      <c r="BE663" s="68"/>
      <c r="BF663" s="68"/>
      <c r="BG663" s="68"/>
      <c r="BH663" s="68"/>
      <c r="BI663" s="68"/>
      <c r="BJ663" s="68"/>
      <c r="BK663" s="68"/>
      <c r="BL663" s="68"/>
      <c r="BM663" s="68"/>
      <c r="BN663" s="68"/>
      <c r="BO663" s="68"/>
      <c r="BP663" s="68"/>
      <c r="BQ663" s="68"/>
      <c r="BR663" s="68"/>
      <c r="BS663" s="68"/>
      <c r="BT663" s="68"/>
      <c r="BU663" s="68"/>
      <c r="BV663" s="68"/>
      <c r="BW663" s="68"/>
      <c r="BX663" s="68"/>
      <c r="BY663" s="68"/>
      <c r="BZ663" s="68"/>
      <c r="CA663" s="68"/>
      <c r="CB663" s="68"/>
      <c r="CC663" s="68"/>
    </row>
    <row r="664" spans="1:81" ht="15.75" x14ac:dyDescent="0.25">
      <c r="A664" s="68"/>
      <c r="B664" s="68"/>
      <c r="C664" s="68"/>
      <c r="D664" s="69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D664" s="68"/>
      <c r="BE664" s="68"/>
      <c r="BF664" s="68"/>
      <c r="BG664" s="68"/>
      <c r="BH664" s="68"/>
      <c r="BI664" s="68"/>
      <c r="BJ664" s="68"/>
      <c r="BK664" s="68"/>
      <c r="BL664" s="68"/>
      <c r="BM664" s="68"/>
      <c r="BN664" s="68"/>
      <c r="BO664" s="68"/>
      <c r="BP664" s="68"/>
      <c r="BQ664" s="68"/>
      <c r="BR664" s="68"/>
      <c r="BS664" s="68"/>
      <c r="BT664" s="68"/>
      <c r="BU664" s="68"/>
      <c r="BV664" s="68"/>
      <c r="BW664" s="68"/>
      <c r="BX664" s="68"/>
      <c r="BY664" s="68"/>
      <c r="BZ664" s="68"/>
      <c r="CA664" s="68"/>
      <c r="CB664" s="68"/>
      <c r="CC664" s="68"/>
    </row>
    <row r="665" spans="1:81" ht="15.75" x14ac:dyDescent="0.25">
      <c r="A665" s="68"/>
      <c r="B665" s="68"/>
      <c r="C665" s="68"/>
      <c r="D665" s="69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  <c r="AR665" s="68"/>
      <c r="AS665" s="68"/>
      <c r="AT665" s="68"/>
      <c r="AU665" s="68"/>
      <c r="AV665" s="68"/>
      <c r="AW665" s="68"/>
      <c r="AX665" s="68"/>
      <c r="AY665" s="68"/>
      <c r="AZ665" s="68"/>
      <c r="BA665" s="68"/>
      <c r="BB665" s="68"/>
      <c r="BC665" s="68"/>
      <c r="BD665" s="68"/>
      <c r="BE665" s="68"/>
      <c r="BF665" s="68"/>
      <c r="BG665" s="68"/>
      <c r="BH665" s="68"/>
      <c r="BI665" s="68"/>
      <c r="BJ665" s="68"/>
      <c r="BK665" s="68"/>
      <c r="BL665" s="68"/>
      <c r="BM665" s="68"/>
      <c r="BN665" s="68"/>
      <c r="BO665" s="68"/>
      <c r="BP665" s="68"/>
      <c r="BQ665" s="68"/>
      <c r="BR665" s="68"/>
      <c r="BS665" s="68"/>
      <c r="BT665" s="68"/>
      <c r="BU665" s="68"/>
      <c r="BV665" s="68"/>
      <c r="BW665" s="68"/>
      <c r="BX665" s="68"/>
      <c r="BY665" s="68"/>
      <c r="BZ665" s="68"/>
      <c r="CA665" s="68"/>
      <c r="CB665" s="68"/>
      <c r="CC665" s="68"/>
    </row>
    <row r="666" spans="1:81" ht="15.75" x14ac:dyDescent="0.25">
      <c r="A666" s="68"/>
      <c r="B666" s="68"/>
      <c r="C666" s="68"/>
      <c r="D666" s="69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  <c r="BA666" s="68"/>
      <c r="BB666" s="68"/>
      <c r="BC666" s="68"/>
      <c r="BD666" s="68"/>
      <c r="BE666" s="68"/>
      <c r="BF666" s="68"/>
      <c r="BG666" s="68"/>
      <c r="BH666" s="68"/>
      <c r="BI666" s="68"/>
      <c r="BJ666" s="68"/>
      <c r="BK666" s="68"/>
      <c r="BL666" s="68"/>
      <c r="BM666" s="68"/>
      <c r="BN666" s="68"/>
      <c r="BO666" s="68"/>
      <c r="BP666" s="68"/>
      <c r="BQ666" s="68"/>
      <c r="BR666" s="68"/>
      <c r="BS666" s="68"/>
      <c r="BT666" s="68"/>
      <c r="BU666" s="68"/>
      <c r="BV666" s="68"/>
      <c r="BW666" s="68"/>
      <c r="BX666" s="68"/>
      <c r="BY666" s="68"/>
      <c r="BZ666" s="68"/>
      <c r="CA666" s="68"/>
      <c r="CB666" s="68"/>
      <c r="CC666" s="68"/>
    </row>
    <row r="667" spans="1:81" ht="15.75" x14ac:dyDescent="0.25">
      <c r="A667" s="68"/>
      <c r="B667" s="68"/>
      <c r="C667" s="68"/>
      <c r="D667" s="69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  <c r="AW667" s="68"/>
      <c r="AX667" s="68"/>
      <c r="AY667" s="68"/>
      <c r="AZ667" s="68"/>
      <c r="BA667" s="68"/>
      <c r="BB667" s="68"/>
      <c r="BC667" s="68"/>
      <c r="BD667" s="68"/>
      <c r="BE667" s="68"/>
      <c r="BF667" s="68"/>
      <c r="BG667" s="68"/>
      <c r="BH667" s="68"/>
      <c r="BI667" s="68"/>
      <c r="BJ667" s="68"/>
      <c r="BK667" s="68"/>
      <c r="BL667" s="68"/>
      <c r="BM667" s="68"/>
      <c r="BN667" s="68"/>
      <c r="BO667" s="68"/>
      <c r="BP667" s="68"/>
      <c r="BQ667" s="68"/>
      <c r="BR667" s="68"/>
      <c r="BS667" s="68"/>
      <c r="BT667" s="68"/>
      <c r="BU667" s="68"/>
      <c r="BV667" s="68"/>
      <c r="BW667" s="68"/>
      <c r="BX667" s="68"/>
      <c r="BY667" s="68"/>
      <c r="BZ667" s="68"/>
      <c r="CA667" s="68"/>
      <c r="CB667" s="68"/>
      <c r="CC667" s="68"/>
    </row>
    <row r="668" spans="1:81" ht="15.75" x14ac:dyDescent="0.25">
      <c r="A668" s="68"/>
      <c r="B668" s="68"/>
      <c r="C668" s="68"/>
      <c r="D668" s="69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  <c r="BA668" s="68"/>
      <c r="BB668" s="68"/>
      <c r="BC668" s="68"/>
      <c r="BD668" s="68"/>
      <c r="BE668" s="68"/>
      <c r="BF668" s="68"/>
      <c r="BG668" s="68"/>
      <c r="BH668" s="68"/>
      <c r="BI668" s="68"/>
      <c r="BJ668" s="68"/>
      <c r="BK668" s="68"/>
      <c r="BL668" s="68"/>
      <c r="BM668" s="68"/>
      <c r="BN668" s="68"/>
      <c r="BO668" s="68"/>
      <c r="BP668" s="68"/>
      <c r="BQ668" s="68"/>
      <c r="BR668" s="68"/>
      <c r="BS668" s="68"/>
      <c r="BT668" s="68"/>
      <c r="BU668" s="68"/>
      <c r="BV668" s="68"/>
      <c r="BW668" s="68"/>
      <c r="BX668" s="68"/>
      <c r="BY668" s="68"/>
      <c r="BZ668" s="68"/>
      <c r="CA668" s="68"/>
      <c r="CB668" s="68"/>
      <c r="CC668" s="68"/>
    </row>
    <row r="669" spans="1:81" ht="15.75" x14ac:dyDescent="0.25">
      <c r="A669" s="68"/>
      <c r="B669" s="68"/>
      <c r="C669" s="68"/>
      <c r="D669" s="69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  <c r="AW669" s="68"/>
      <c r="AX669" s="68"/>
      <c r="AY669" s="68"/>
      <c r="AZ669" s="68"/>
      <c r="BA669" s="68"/>
      <c r="BB669" s="68"/>
      <c r="BC669" s="68"/>
      <c r="BD669" s="68"/>
      <c r="BE669" s="68"/>
      <c r="BF669" s="68"/>
      <c r="BG669" s="68"/>
      <c r="BH669" s="68"/>
      <c r="BI669" s="68"/>
      <c r="BJ669" s="68"/>
      <c r="BK669" s="68"/>
      <c r="BL669" s="68"/>
      <c r="BM669" s="68"/>
      <c r="BN669" s="68"/>
      <c r="BO669" s="68"/>
      <c r="BP669" s="68"/>
      <c r="BQ669" s="68"/>
      <c r="BR669" s="68"/>
      <c r="BS669" s="68"/>
      <c r="BT669" s="68"/>
      <c r="BU669" s="68"/>
      <c r="BV669" s="68"/>
      <c r="BW669" s="68"/>
      <c r="BX669" s="68"/>
      <c r="BY669" s="68"/>
      <c r="BZ669" s="68"/>
      <c r="CA669" s="68"/>
      <c r="CB669" s="68"/>
      <c r="CC669" s="68"/>
    </row>
    <row r="670" spans="1:81" ht="15.75" x14ac:dyDescent="0.25">
      <c r="A670" s="68"/>
      <c r="B670" s="68"/>
      <c r="C670" s="68"/>
      <c r="D670" s="69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  <c r="BA670" s="68"/>
      <c r="BB670" s="68"/>
      <c r="BC670" s="68"/>
      <c r="BD670" s="68"/>
      <c r="BE670" s="68"/>
      <c r="BF670" s="68"/>
      <c r="BG670" s="68"/>
      <c r="BH670" s="68"/>
      <c r="BI670" s="68"/>
      <c r="BJ670" s="68"/>
      <c r="BK670" s="68"/>
      <c r="BL670" s="68"/>
      <c r="BM670" s="68"/>
      <c r="BN670" s="68"/>
      <c r="BO670" s="68"/>
      <c r="BP670" s="68"/>
      <c r="BQ670" s="68"/>
      <c r="BR670" s="68"/>
      <c r="BS670" s="68"/>
      <c r="BT670" s="68"/>
      <c r="BU670" s="68"/>
      <c r="BV670" s="68"/>
      <c r="BW670" s="68"/>
      <c r="BX670" s="68"/>
      <c r="BY670" s="68"/>
      <c r="BZ670" s="68"/>
      <c r="CA670" s="68"/>
      <c r="CB670" s="68"/>
      <c r="CC670" s="68"/>
    </row>
    <row r="671" spans="1:81" ht="15.75" x14ac:dyDescent="0.25">
      <c r="A671" s="68"/>
      <c r="B671" s="68"/>
      <c r="C671" s="68"/>
      <c r="D671" s="69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  <c r="AW671" s="68"/>
      <c r="AX671" s="68"/>
      <c r="AY671" s="68"/>
      <c r="AZ671" s="68"/>
      <c r="BA671" s="68"/>
      <c r="BB671" s="68"/>
      <c r="BC671" s="68"/>
      <c r="BD671" s="68"/>
      <c r="BE671" s="68"/>
      <c r="BF671" s="68"/>
      <c r="BG671" s="68"/>
      <c r="BH671" s="68"/>
      <c r="BI671" s="68"/>
      <c r="BJ671" s="68"/>
      <c r="BK671" s="68"/>
      <c r="BL671" s="68"/>
      <c r="BM671" s="68"/>
      <c r="BN671" s="68"/>
      <c r="BO671" s="68"/>
      <c r="BP671" s="68"/>
      <c r="BQ671" s="68"/>
      <c r="BR671" s="68"/>
      <c r="BS671" s="68"/>
      <c r="BT671" s="68"/>
      <c r="BU671" s="68"/>
      <c r="BV671" s="68"/>
      <c r="BW671" s="68"/>
      <c r="BX671" s="68"/>
      <c r="BY671" s="68"/>
      <c r="BZ671" s="68"/>
      <c r="CA671" s="68"/>
      <c r="CB671" s="68"/>
      <c r="CC671" s="68"/>
    </row>
    <row r="672" spans="1:81" ht="15.75" x14ac:dyDescent="0.25">
      <c r="A672" s="68"/>
      <c r="B672" s="68"/>
      <c r="C672" s="68"/>
      <c r="D672" s="69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  <c r="BA672" s="68"/>
      <c r="BB672" s="68"/>
      <c r="BC672" s="68"/>
      <c r="BD672" s="68"/>
      <c r="BE672" s="68"/>
      <c r="BF672" s="68"/>
      <c r="BG672" s="68"/>
      <c r="BH672" s="68"/>
      <c r="BI672" s="68"/>
      <c r="BJ672" s="68"/>
      <c r="BK672" s="68"/>
      <c r="BL672" s="68"/>
      <c r="BM672" s="68"/>
      <c r="BN672" s="68"/>
      <c r="BO672" s="68"/>
      <c r="BP672" s="68"/>
      <c r="BQ672" s="68"/>
      <c r="BR672" s="68"/>
      <c r="BS672" s="68"/>
      <c r="BT672" s="68"/>
      <c r="BU672" s="68"/>
      <c r="BV672" s="68"/>
      <c r="BW672" s="68"/>
      <c r="BX672" s="68"/>
      <c r="BY672" s="68"/>
      <c r="BZ672" s="68"/>
      <c r="CA672" s="68"/>
      <c r="CB672" s="68"/>
      <c r="CC672" s="68"/>
    </row>
    <row r="673" spans="1:81" ht="15.75" x14ac:dyDescent="0.25">
      <c r="A673" s="68"/>
      <c r="B673" s="68"/>
      <c r="C673" s="68"/>
      <c r="D673" s="69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  <c r="AW673" s="68"/>
      <c r="AX673" s="68"/>
      <c r="AY673" s="68"/>
      <c r="AZ673" s="68"/>
      <c r="BA673" s="68"/>
      <c r="BB673" s="68"/>
      <c r="BC673" s="68"/>
      <c r="BD673" s="68"/>
      <c r="BE673" s="68"/>
      <c r="BF673" s="68"/>
      <c r="BG673" s="68"/>
      <c r="BH673" s="68"/>
      <c r="BI673" s="68"/>
      <c r="BJ673" s="68"/>
      <c r="BK673" s="68"/>
      <c r="BL673" s="68"/>
      <c r="BM673" s="68"/>
      <c r="BN673" s="68"/>
      <c r="BO673" s="68"/>
      <c r="BP673" s="68"/>
      <c r="BQ673" s="68"/>
      <c r="BR673" s="68"/>
      <c r="BS673" s="68"/>
      <c r="BT673" s="68"/>
      <c r="BU673" s="68"/>
      <c r="BV673" s="68"/>
      <c r="BW673" s="68"/>
      <c r="BX673" s="68"/>
      <c r="BY673" s="68"/>
      <c r="BZ673" s="68"/>
      <c r="CA673" s="68"/>
      <c r="CB673" s="68"/>
      <c r="CC673" s="68"/>
    </row>
    <row r="674" spans="1:81" ht="15.75" x14ac:dyDescent="0.25">
      <c r="A674" s="68"/>
      <c r="B674" s="68"/>
      <c r="C674" s="68"/>
      <c r="D674" s="69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  <c r="BA674" s="68"/>
      <c r="BB674" s="68"/>
      <c r="BC674" s="68"/>
      <c r="BD674" s="68"/>
      <c r="BE674" s="68"/>
      <c r="BF674" s="68"/>
      <c r="BG674" s="68"/>
      <c r="BH674" s="68"/>
      <c r="BI674" s="68"/>
      <c r="BJ674" s="68"/>
      <c r="BK674" s="68"/>
      <c r="BL674" s="68"/>
      <c r="BM674" s="68"/>
      <c r="BN674" s="68"/>
      <c r="BO674" s="68"/>
      <c r="BP674" s="68"/>
      <c r="BQ674" s="68"/>
      <c r="BR674" s="68"/>
      <c r="BS674" s="68"/>
      <c r="BT674" s="68"/>
      <c r="BU674" s="68"/>
      <c r="BV674" s="68"/>
      <c r="BW674" s="68"/>
      <c r="BX674" s="68"/>
      <c r="BY674" s="68"/>
      <c r="BZ674" s="68"/>
      <c r="CA674" s="68"/>
      <c r="CB674" s="68"/>
      <c r="CC674" s="68"/>
    </row>
    <row r="675" spans="1:81" ht="15.75" x14ac:dyDescent="0.25">
      <c r="A675" s="68"/>
      <c r="B675" s="68"/>
      <c r="C675" s="68"/>
      <c r="D675" s="69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  <c r="AW675" s="68"/>
      <c r="AX675" s="68"/>
      <c r="AY675" s="68"/>
      <c r="AZ675" s="68"/>
      <c r="BA675" s="68"/>
      <c r="BB675" s="68"/>
      <c r="BC675" s="68"/>
      <c r="BD675" s="68"/>
      <c r="BE675" s="68"/>
      <c r="BF675" s="68"/>
      <c r="BG675" s="68"/>
      <c r="BH675" s="68"/>
      <c r="BI675" s="68"/>
      <c r="BJ675" s="68"/>
      <c r="BK675" s="68"/>
      <c r="BL675" s="68"/>
      <c r="BM675" s="68"/>
      <c r="BN675" s="68"/>
      <c r="BO675" s="68"/>
      <c r="BP675" s="68"/>
      <c r="BQ675" s="68"/>
      <c r="BR675" s="68"/>
      <c r="BS675" s="68"/>
      <c r="BT675" s="68"/>
      <c r="BU675" s="68"/>
      <c r="BV675" s="68"/>
      <c r="BW675" s="68"/>
      <c r="BX675" s="68"/>
      <c r="BY675" s="68"/>
      <c r="BZ675" s="68"/>
      <c r="CA675" s="68"/>
      <c r="CB675" s="68"/>
      <c r="CC675" s="68"/>
    </row>
    <row r="676" spans="1:81" ht="15.75" x14ac:dyDescent="0.25">
      <c r="A676" s="68"/>
      <c r="B676" s="68"/>
      <c r="C676" s="68"/>
      <c r="D676" s="69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  <c r="AW676" s="68"/>
      <c r="AX676" s="68"/>
      <c r="AY676" s="68"/>
      <c r="AZ676" s="68"/>
      <c r="BA676" s="68"/>
      <c r="BB676" s="68"/>
      <c r="BC676" s="68"/>
      <c r="BD676" s="68"/>
      <c r="BE676" s="68"/>
      <c r="BF676" s="68"/>
      <c r="BG676" s="68"/>
      <c r="BH676" s="68"/>
      <c r="BI676" s="68"/>
      <c r="BJ676" s="68"/>
      <c r="BK676" s="68"/>
      <c r="BL676" s="68"/>
      <c r="BM676" s="68"/>
      <c r="BN676" s="68"/>
      <c r="BO676" s="68"/>
      <c r="BP676" s="68"/>
      <c r="BQ676" s="68"/>
      <c r="BR676" s="68"/>
      <c r="BS676" s="68"/>
      <c r="BT676" s="68"/>
      <c r="BU676" s="68"/>
      <c r="BV676" s="68"/>
      <c r="BW676" s="68"/>
      <c r="BX676" s="68"/>
      <c r="BY676" s="68"/>
      <c r="BZ676" s="68"/>
      <c r="CA676" s="68"/>
      <c r="CB676" s="68"/>
      <c r="CC676" s="68"/>
    </row>
    <row r="677" spans="1:81" ht="15.75" x14ac:dyDescent="0.25">
      <c r="A677" s="68"/>
      <c r="B677" s="68"/>
      <c r="C677" s="68"/>
      <c r="D677" s="69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  <c r="AW677" s="68"/>
      <c r="AX677" s="68"/>
      <c r="AY677" s="68"/>
      <c r="AZ677" s="68"/>
      <c r="BA677" s="68"/>
      <c r="BB677" s="68"/>
      <c r="BC677" s="68"/>
      <c r="BD677" s="68"/>
      <c r="BE677" s="68"/>
      <c r="BF677" s="68"/>
      <c r="BG677" s="68"/>
      <c r="BH677" s="68"/>
      <c r="BI677" s="68"/>
      <c r="BJ677" s="68"/>
      <c r="BK677" s="68"/>
      <c r="BL677" s="68"/>
      <c r="BM677" s="68"/>
      <c r="BN677" s="68"/>
      <c r="BO677" s="68"/>
      <c r="BP677" s="68"/>
      <c r="BQ677" s="68"/>
      <c r="BR677" s="68"/>
      <c r="BS677" s="68"/>
      <c r="BT677" s="68"/>
      <c r="BU677" s="68"/>
      <c r="BV677" s="68"/>
      <c r="BW677" s="68"/>
      <c r="BX677" s="68"/>
      <c r="BY677" s="68"/>
      <c r="BZ677" s="68"/>
      <c r="CA677" s="68"/>
      <c r="CB677" s="68"/>
      <c r="CC677" s="68"/>
    </row>
    <row r="678" spans="1:81" ht="15.75" x14ac:dyDescent="0.25">
      <c r="A678" s="68"/>
      <c r="B678" s="68"/>
      <c r="C678" s="68"/>
      <c r="D678" s="69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  <c r="AW678" s="68"/>
      <c r="AX678" s="68"/>
      <c r="AY678" s="68"/>
      <c r="AZ678" s="68"/>
      <c r="BA678" s="68"/>
      <c r="BB678" s="68"/>
      <c r="BC678" s="68"/>
      <c r="BD678" s="68"/>
      <c r="BE678" s="68"/>
      <c r="BF678" s="68"/>
      <c r="BG678" s="68"/>
      <c r="BH678" s="68"/>
      <c r="BI678" s="68"/>
      <c r="BJ678" s="68"/>
      <c r="BK678" s="68"/>
      <c r="BL678" s="68"/>
      <c r="BM678" s="68"/>
      <c r="BN678" s="68"/>
      <c r="BO678" s="68"/>
      <c r="BP678" s="68"/>
      <c r="BQ678" s="68"/>
      <c r="BR678" s="68"/>
      <c r="BS678" s="68"/>
      <c r="BT678" s="68"/>
      <c r="BU678" s="68"/>
      <c r="BV678" s="68"/>
      <c r="BW678" s="68"/>
      <c r="BX678" s="68"/>
      <c r="BY678" s="68"/>
      <c r="BZ678" s="68"/>
      <c r="CA678" s="68"/>
      <c r="CB678" s="68"/>
      <c r="CC678" s="68"/>
    </row>
    <row r="679" spans="1:81" ht="15.75" x14ac:dyDescent="0.25">
      <c r="A679" s="68"/>
      <c r="B679" s="68"/>
      <c r="C679" s="68"/>
      <c r="D679" s="69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  <c r="AW679" s="68"/>
      <c r="AX679" s="68"/>
      <c r="AY679" s="68"/>
      <c r="AZ679" s="68"/>
      <c r="BA679" s="68"/>
      <c r="BB679" s="68"/>
      <c r="BC679" s="68"/>
      <c r="BD679" s="68"/>
      <c r="BE679" s="68"/>
      <c r="BF679" s="68"/>
      <c r="BG679" s="68"/>
      <c r="BH679" s="68"/>
      <c r="BI679" s="68"/>
      <c r="BJ679" s="68"/>
      <c r="BK679" s="68"/>
      <c r="BL679" s="68"/>
      <c r="BM679" s="68"/>
      <c r="BN679" s="68"/>
      <c r="BO679" s="68"/>
      <c r="BP679" s="68"/>
      <c r="BQ679" s="68"/>
      <c r="BR679" s="68"/>
      <c r="BS679" s="68"/>
      <c r="BT679" s="68"/>
      <c r="BU679" s="68"/>
      <c r="BV679" s="68"/>
      <c r="BW679" s="68"/>
      <c r="BX679" s="68"/>
      <c r="BY679" s="68"/>
      <c r="BZ679" s="68"/>
      <c r="CA679" s="68"/>
      <c r="CB679" s="68"/>
      <c r="CC679" s="68"/>
    </row>
    <row r="680" spans="1:81" ht="15.75" x14ac:dyDescent="0.25">
      <c r="A680" s="68"/>
      <c r="B680" s="68"/>
      <c r="C680" s="68"/>
      <c r="D680" s="69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  <c r="AW680" s="68"/>
      <c r="AX680" s="68"/>
      <c r="AY680" s="68"/>
      <c r="AZ680" s="68"/>
      <c r="BA680" s="68"/>
      <c r="BB680" s="68"/>
      <c r="BC680" s="68"/>
      <c r="BD680" s="68"/>
      <c r="BE680" s="68"/>
      <c r="BF680" s="68"/>
      <c r="BG680" s="68"/>
      <c r="BH680" s="68"/>
      <c r="BI680" s="68"/>
      <c r="BJ680" s="68"/>
      <c r="BK680" s="68"/>
      <c r="BL680" s="68"/>
      <c r="BM680" s="68"/>
      <c r="BN680" s="68"/>
      <c r="BO680" s="68"/>
      <c r="BP680" s="68"/>
      <c r="BQ680" s="68"/>
      <c r="BR680" s="68"/>
      <c r="BS680" s="68"/>
      <c r="BT680" s="68"/>
      <c r="BU680" s="68"/>
      <c r="BV680" s="68"/>
      <c r="BW680" s="68"/>
      <c r="BX680" s="68"/>
      <c r="BY680" s="68"/>
      <c r="BZ680" s="68"/>
      <c r="CA680" s="68"/>
      <c r="CB680" s="68"/>
      <c r="CC680" s="68"/>
    </row>
    <row r="681" spans="1:81" ht="15.75" x14ac:dyDescent="0.25">
      <c r="A681" s="68"/>
      <c r="B681" s="68"/>
      <c r="C681" s="68"/>
      <c r="D681" s="69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  <c r="BA681" s="68"/>
      <c r="BB681" s="68"/>
      <c r="BC681" s="68"/>
      <c r="BD681" s="68"/>
      <c r="BE681" s="68"/>
      <c r="BF681" s="68"/>
      <c r="BG681" s="68"/>
      <c r="BH681" s="68"/>
      <c r="BI681" s="68"/>
      <c r="BJ681" s="68"/>
      <c r="BK681" s="68"/>
      <c r="BL681" s="68"/>
      <c r="BM681" s="68"/>
      <c r="BN681" s="68"/>
      <c r="BO681" s="68"/>
      <c r="BP681" s="68"/>
      <c r="BQ681" s="68"/>
      <c r="BR681" s="68"/>
      <c r="BS681" s="68"/>
      <c r="BT681" s="68"/>
      <c r="BU681" s="68"/>
      <c r="BV681" s="68"/>
      <c r="BW681" s="68"/>
      <c r="BX681" s="68"/>
      <c r="BY681" s="68"/>
      <c r="BZ681" s="68"/>
      <c r="CA681" s="68"/>
      <c r="CB681" s="68"/>
      <c r="CC681" s="68"/>
    </row>
    <row r="682" spans="1:81" ht="15.75" x14ac:dyDescent="0.25">
      <c r="A682" s="68"/>
      <c r="B682" s="68"/>
      <c r="C682" s="68"/>
      <c r="D682" s="69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68"/>
      <c r="AX682" s="68"/>
      <c r="AY682" s="68"/>
      <c r="AZ682" s="68"/>
      <c r="BA682" s="68"/>
      <c r="BB682" s="68"/>
      <c r="BC682" s="68"/>
      <c r="BD682" s="68"/>
      <c r="BE682" s="68"/>
      <c r="BF682" s="68"/>
      <c r="BG682" s="68"/>
      <c r="BH682" s="68"/>
      <c r="BI682" s="68"/>
      <c r="BJ682" s="68"/>
      <c r="BK682" s="68"/>
      <c r="BL682" s="68"/>
      <c r="BM682" s="68"/>
      <c r="BN682" s="68"/>
      <c r="BO682" s="68"/>
      <c r="BP682" s="68"/>
      <c r="BQ682" s="68"/>
      <c r="BR682" s="68"/>
      <c r="BS682" s="68"/>
      <c r="BT682" s="68"/>
      <c r="BU682" s="68"/>
      <c r="BV682" s="68"/>
      <c r="BW682" s="68"/>
      <c r="BX682" s="68"/>
      <c r="BY682" s="68"/>
      <c r="BZ682" s="68"/>
      <c r="CA682" s="68"/>
      <c r="CB682" s="68"/>
      <c r="CC682" s="68"/>
    </row>
    <row r="683" spans="1:81" ht="15.75" x14ac:dyDescent="0.25">
      <c r="A683" s="68"/>
      <c r="B683" s="68"/>
      <c r="C683" s="68"/>
      <c r="D683" s="69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68"/>
      <c r="AX683" s="68"/>
      <c r="AY683" s="68"/>
      <c r="AZ683" s="68"/>
      <c r="BA683" s="68"/>
      <c r="BB683" s="68"/>
      <c r="BC683" s="68"/>
      <c r="BD683" s="68"/>
      <c r="BE683" s="68"/>
      <c r="BF683" s="68"/>
      <c r="BG683" s="68"/>
      <c r="BH683" s="68"/>
      <c r="BI683" s="68"/>
      <c r="BJ683" s="68"/>
      <c r="BK683" s="68"/>
      <c r="BL683" s="68"/>
      <c r="BM683" s="68"/>
      <c r="BN683" s="68"/>
      <c r="BO683" s="68"/>
      <c r="BP683" s="68"/>
      <c r="BQ683" s="68"/>
      <c r="BR683" s="68"/>
      <c r="BS683" s="68"/>
      <c r="BT683" s="68"/>
      <c r="BU683" s="68"/>
      <c r="BV683" s="68"/>
      <c r="BW683" s="68"/>
      <c r="BX683" s="68"/>
      <c r="BY683" s="68"/>
      <c r="BZ683" s="68"/>
      <c r="CA683" s="68"/>
      <c r="CB683" s="68"/>
      <c r="CC683" s="68"/>
    </row>
    <row r="684" spans="1:81" ht="15.75" x14ac:dyDescent="0.25">
      <c r="A684" s="68"/>
      <c r="B684" s="68"/>
      <c r="C684" s="68"/>
      <c r="D684" s="69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68"/>
      <c r="AX684" s="68"/>
      <c r="AY684" s="68"/>
      <c r="AZ684" s="68"/>
      <c r="BA684" s="68"/>
      <c r="BB684" s="68"/>
      <c r="BC684" s="68"/>
      <c r="BD684" s="68"/>
      <c r="BE684" s="68"/>
      <c r="BF684" s="68"/>
      <c r="BG684" s="68"/>
      <c r="BH684" s="68"/>
      <c r="BI684" s="68"/>
      <c r="BJ684" s="68"/>
      <c r="BK684" s="68"/>
      <c r="BL684" s="68"/>
      <c r="BM684" s="68"/>
      <c r="BN684" s="68"/>
      <c r="BO684" s="68"/>
      <c r="BP684" s="68"/>
      <c r="BQ684" s="68"/>
      <c r="BR684" s="68"/>
      <c r="BS684" s="68"/>
      <c r="BT684" s="68"/>
      <c r="BU684" s="68"/>
      <c r="BV684" s="68"/>
      <c r="BW684" s="68"/>
      <c r="BX684" s="68"/>
      <c r="BY684" s="68"/>
      <c r="BZ684" s="68"/>
      <c r="CA684" s="68"/>
      <c r="CB684" s="68"/>
      <c r="CC684" s="68"/>
    </row>
    <row r="685" spans="1:81" ht="15.75" x14ac:dyDescent="0.25">
      <c r="A685" s="68"/>
      <c r="B685" s="68"/>
      <c r="C685" s="68"/>
      <c r="D685" s="69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68"/>
      <c r="AX685" s="68"/>
      <c r="AY685" s="68"/>
      <c r="AZ685" s="68"/>
      <c r="BA685" s="68"/>
      <c r="BB685" s="68"/>
      <c r="BC685" s="68"/>
      <c r="BD685" s="68"/>
      <c r="BE685" s="68"/>
      <c r="BF685" s="68"/>
      <c r="BG685" s="68"/>
      <c r="BH685" s="68"/>
      <c r="BI685" s="68"/>
      <c r="BJ685" s="68"/>
      <c r="BK685" s="68"/>
      <c r="BL685" s="68"/>
      <c r="BM685" s="68"/>
      <c r="BN685" s="68"/>
      <c r="BO685" s="68"/>
      <c r="BP685" s="68"/>
      <c r="BQ685" s="68"/>
      <c r="BR685" s="68"/>
      <c r="BS685" s="68"/>
      <c r="BT685" s="68"/>
      <c r="BU685" s="68"/>
      <c r="BV685" s="68"/>
      <c r="BW685" s="68"/>
      <c r="BX685" s="68"/>
      <c r="BY685" s="68"/>
      <c r="BZ685" s="68"/>
      <c r="CA685" s="68"/>
      <c r="CB685" s="68"/>
      <c r="CC685" s="68"/>
    </row>
    <row r="686" spans="1:81" ht="15.75" x14ac:dyDescent="0.25">
      <c r="A686" s="68"/>
      <c r="B686" s="68"/>
      <c r="C686" s="68"/>
      <c r="D686" s="69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68"/>
      <c r="AX686" s="68"/>
      <c r="AY686" s="68"/>
      <c r="AZ686" s="68"/>
      <c r="BA686" s="68"/>
      <c r="BB686" s="68"/>
      <c r="BC686" s="68"/>
      <c r="BD686" s="68"/>
      <c r="BE686" s="68"/>
      <c r="BF686" s="68"/>
      <c r="BG686" s="68"/>
      <c r="BH686" s="68"/>
      <c r="BI686" s="68"/>
      <c r="BJ686" s="68"/>
      <c r="BK686" s="68"/>
      <c r="BL686" s="68"/>
      <c r="BM686" s="68"/>
      <c r="BN686" s="68"/>
      <c r="BO686" s="68"/>
      <c r="BP686" s="68"/>
      <c r="BQ686" s="68"/>
      <c r="BR686" s="68"/>
      <c r="BS686" s="68"/>
      <c r="BT686" s="68"/>
      <c r="BU686" s="68"/>
      <c r="BV686" s="68"/>
      <c r="BW686" s="68"/>
      <c r="BX686" s="68"/>
      <c r="BY686" s="68"/>
      <c r="BZ686" s="68"/>
      <c r="CA686" s="68"/>
      <c r="CB686" s="68"/>
      <c r="CC686" s="68"/>
    </row>
    <row r="687" spans="1:81" ht="15.75" x14ac:dyDescent="0.25">
      <c r="A687" s="68"/>
      <c r="B687" s="68"/>
      <c r="C687" s="68"/>
      <c r="D687" s="69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68"/>
      <c r="AW687" s="68"/>
      <c r="AX687" s="68"/>
      <c r="AY687" s="68"/>
      <c r="AZ687" s="68"/>
      <c r="BA687" s="68"/>
      <c r="BB687" s="68"/>
      <c r="BC687" s="68"/>
      <c r="BD687" s="68"/>
      <c r="BE687" s="68"/>
      <c r="BF687" s="68"/>
      <c r="BG687" s="68"/>
      <c r="BH687" s="68"/>
      <c r="BI687" s="68"/>
      <c r="BJ687" s="68"/>
      <c r="BK687" s="68"/>
      <c r="BL687" s="68"/>
      <c r="BM687" s="68"/>
      <c r="BN687" s="68"/>
      <c r="BO687" s="68"/>
      <c r="BP687" s="68"/>
      <c r="BQ687" s="68"/>
      <c r="BR687" s="68"/>
      <c r="BS687" s="68"/>
      <c r="BT687" s="68"/>
      <c r="BU687" s="68"/>
      <c r="BV687" s="68"/>
      <c r="BW687" s="68"/>
      <c r="BX687" s="68"/>
      <c r="BY687" s="68"/>
      <c r="BZ687" s="68"/>
      <c r="CA687" s="68"/>
      <c r="CB687" s="68"/>
      <c r="CC687" s="68"/>
    </row>
    <row r="688" spans="1:81" ht="15.75" x14ac:dyDescent="0.25">
      <c r="A688" s="68"/>
      <c r="B688" s="68"/>
      <c r="C688" s="68"/>
      <c r="D688" s="69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  <c r="AW688" s="68"/>
      <c r="AX688" s="68"/>
      <c r="AY688" s="68"/>
      <c r="AZ688" s="68"/>
      <c r="BA688" s="68"/>
      <c r="BB688" s="68"/>
      <c r="BC688" s="68"/>
      <c r="BD688" s="68"/>
      <c r="BE688" s="68"/>
      <c r="BF688" s="68"/>
      <c r="BG688" s="68"/>
      <c r="BH688" s="68"/>
      <c r="BI688" s="68"/>
      <c r="BJ688" s="68"/>
      <c r="BK688" s="68"/>
      <c r="BL688" s="68"/>
      <c r="BM688" s="68"/>
      <c r="BN688" s="68"/>
      <c r="BO688" s="68"/>
      <c r="BP688" s="68"/>
      <c r="BQ688" s="68"/>
      <c r="BR688" s="68"/>
      <c r="BS688" s="68"/>
      <c r="BT688" s="68"/>
      <c r="BU688" s="68"/>
      <c r="BV688" s="68"/>
      <c r="BW688" s="68"/>
      <c r="BX688" s="68"/>
      <c r="BY688" s="68"/>
      <c r="BZ688" s="68"/>
      <c r="CA688" s="68"/>
      <c r="CB688" s="68"/>
      <c r="CC688" s="68"/>
    </row>
    <row r="689" spans="1:81" ht="15.75" x14ac:dyDescent="0.25">
      <c r="A689" s="68"/>
      <c r="B689" s="68"/>
      <c r="C689" s="68"/>
      <c r="D689" s="69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68"/>
      <c r="AX689" s="68"/>
      <c r="AY689" s="68"/>
      <c r="AZ689" s="68"/>
      <c r="BA689" s="68"/>
      <c r="BB689" s="68"/>
      <c r="BC689" s="68"/>
      <c r="BD689" s="68"/>
      <c r="BE689" s="68"/>
      <c r="BF689" s="68"/>
      <c r="BG689" s="68"/>
      <c r="BH689" s="68"/>
      <c r="BI689" s="68"/>
      <c r="BJ689" s="68"/>
      <c r="BK689" s="68"/>
      <c r="BL689" s="68"/>
      <c r="BM689" s="68"/>
      <c r="BN689" s="68"/>
      <c r="BO689" s="68"/>
      <c r="BP689" s="68"/>
      <c r="BQ689" s="68"/>
      <c r="BR689" s="68"/>
      <c r="BS689" s="68"/>
      <c r="BT689" s="68"/>
      <c r="BU689" s="68"/>
      <c r="BV689" s="68"/>
      <c r="BW689" s="68"/>
      <c r="BX689" s="68"/>
      <c r="BY689" s="68"/>
      <c r="BZ689" s="68"/>
      <c r="CA689" s="68"/>
      <c r="CB689" s="68"/>
      <c r="CC689" s="68"/>
    </row>
    <row r="690" spans="1:81" ht="15.75" x14ac:dyDescent="0.25">
      <c r="A690" s="68"/>
      <c r="B690" s="68"/>
      <c r="C690" s="68"/>
      <c r="D690" s="69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D690" s="68"/>
      <c r="BE690" s="68"/>
      <c r="BF690" s="68"/>
      <c r="BG690" s="68"/>
      <c r="BH690" s="68"/>
      <c r="BI690" s="68"/>
      <c r="BJ690" s="68"/>
      <c r="BK690" s="68"/>
      <c r="BL690" s="68"/>
      <c r="BM690" s="68"/>
      <c r="BN690" s="68"/>
      <c r="BO690" s="68"/>
      <c r="BP690" s="68"/>
      <c r="BQ690" s="68"/>
      <c r="BR690" s="68"/>
      <c r="BS690" s="68"/>
      <c r="BT690" s="68"/>
      <c r="BU690" s="68"/>
      <c r="BV690" s="68"/>
      <c r="BW690" s="68"/>
      <c r="BX690" s="68"/>
      <c r="BY690" s="68"/>
      <c r="BZ690" s="68"/>
      <c r="CA690" s="68"/>
      <c r="CB690" s="68"/>
      <c r="CC690" s="68"/>
    </row>
    <row r="691" spans="1:81" ht="15.75" x14ac:dyDescent="0.25">
      <c r="A691" s="68"/>
      <c r="B691" s="68"/>
      <c r="C691" s="68"/>
      <c r="D691" s="69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  <c r="BA691" s="68"/>
      <c r="BB691" s="68"/>
      <c r="BC691" s="68"/>
      <c r="BD691" s="68"/>
      <c r="BE691" s="68"/>
      <c r="BF691" s="68"/>
      <c r="BG691" s="68"/>
      <c r="BH691" s="68"/>
      <c r="BI691" s="68"/>
      <c r="BJ691" s="68"/>
      <c r="BK691" s="68"/>
      <c r="BL691" s="68"/>
      <c r="BM691" s="68"/>
      <c r="BN691" s="68"/>
      <c r="BO691" s="68"/>
      <c r="BP691" s="68"/>
      <c r="BQ691" s="68"/>
      <c r="BR691" s="68"/>
      <c r="BS691" s="68"/>
      <c r="BT691" s="68"/>
      <c r="BU691" s="68"/>
      <c r="BV691" s="68"/>
      <c r="BW691" s="68"/>
      <c r="BX691" s="68"/>
      <c r="BY691" s="68"/>
      <c r="BZ691" s="68"/>
      <c r="CA691" s="68"/>
      <c r="CB691" s="68"/>
      <c r="CC691" s="68"/>
    </row>
    <row r="692" spans="1:81" ht="15.75" x14ac:dyDescent="0.25">
      <c r="A692" s="68"/>
      <c r="B692" s="68"/>
      <c r="C692" s="68"/>
      <c r="D692" s="69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  <c r="AW692" s="68"/>
      <c r="AX692" s="68"/>
      <c r="AY692" s="68"/>
      <c r="AZ692" s="68"/>
      <c r="BA692" s="68"/>
      <c r="BB692" s="68"/>
      <c r="BC692" s="68"/>
      <c r="BD692" s="68"/>
      <c r="BE692" s="68"/>
      <c r="BF692" s="68"/>
      <c r="BG692" s="68"/>
      <c r="BH692" s="68"/>
      <c r="BI692" s="68"/>
      <c r="BJ692" s="68"/>
      <c r="BK692" s="68"/>
      <c r="BL692" s="68"/>
      <c r="BM692" s="68"/>
      <c r="BN692" s="68"/>
      <c r="BO692" s="68"/>
      <c r="BP692" s="68"/>
      <c r="BQ692" s="68"/>
      <c r="BR692" s="68"/>
      <c r="BS692" s="68"/>
      <c r="BT692" s="68"/>
      <c r="BU692" s="68"/>
      <c r="BV692" s="68"/>
      <c r="BW692" s="68"/>
      <c r="BX692" s="68"/>
      <c r="BY692" s="68"/>
      <c r="BZ692" s="68"/>
      <c r="CA692" s="68"/>
      <c r="CB692" s="68"/>
      <c r="CC692" s="68"/>
    </row>
    <row r="693" spans="1:81" ht="15.75" x14ac:dyDescent="0.25">
      <c r="A693" s="68"/>
      <c r="B693" s="68"/>
      <c r="C693" s="68"/>
      <c r="D693" s="69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  <c r="AW693" s="68"/>
      <c r="AX693" s="68"/>
      <c r="AY693" s="68"/>
      <c r="AZ693" s="68"/>
      <c r="BA693" s="68"/>
      <c r="BB693" s="68"/>
      <c r="BC693" s="68"/>
      <c r="BD693" s="68"/>
      <c r="BE693" s="68"/>
      <c r="BF693" s="68"/>
      <c r="BG693" s="68"/>
      <c r="BH693" s="68"/>
      <c r="BI693" s="68"/>
      <c r="BJ693" s="68"/>
      <c r="BK693" s="68"/>
      <c r="BL693" s="68"/>
      <c r="BM693" s="68"/>
      <c r="BN693" s="68"/>
      <c r="BO693" s="68"/>
      <c r="BP693" s="68"/>
      <c r="BQ693" s="68"/>
      <c r="BR693" s="68"/>
      <c r="BS693" s="68"/>
      <c r="BT693" s="68"/>
      <c r="BU693" s="68"/>
      <c r="BV693" s="68"/>
      <c r="BW693" s="68"/>
      <c r="BX693" s="68"/>
      <c r="BY693" s="68"/>
      <c r="BZ693" s="68"/>
      <c r="CA693" s="68"/>
      <c r="CB693" s="68"/>
      <c r="CC693" s="68"/>
    </row>
    <row r="694" spans="1:81" ht="15.75" x14ac:dyDescent="0.25">
      <c r="A694" s="68"/>
      <c r="B694" s="68"/>
      <c r="C694" s="68"/>
      <c r="D694" s="69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68"/>
      <c r="AW694" s="68"/>
      <c r="AX694" s="68"/>
      <c r="AY694" s="68"/>
      <c r="AZ694" s="68"/>
      <c r="BA694" s="68"/>
      <c r="BB694" s="68"/>
      <c r="BC694" s="68"/>
      <c r="BD694" s="68"/>
      <c r="BE694" s="68"/>
      <c r="BF694" s="68"/>
      <c r="BG694" s="68"/>
      <c r="BH694" s="68"/>
      <c r="BI694" s="68"/>
      <c r="BJ694" s="68"/>
      <c r="BK694" s="68"/>
      <c r="BL694" s="68"/>
      <c r="BM694" s="68"/>
      <c r="BN694" s="68"/>
      <c r="BO694" s="68"/>
      <c r="BP694" s="68"/>
      <c r="BQ694" s="68"/>
      <c r="BR694" s="68"/>
      <c r="BS694" s="68"/>
      <c r="BT694" s="68"/>
      <c r="BU694" s="68"/>
      <c r="BV694" s="68"/>
      <c r="BW694" s="68"/>
      <c r="BX694" s="68"/>
      <c r="BY694" s="68"/>
      <c r="BZ694" s="68"/>
      <c r="CA694" s="68"/>
      <c r="CB694" s="68"/>
      <c r="CC694" s="68"/>
    </row>
    <row r="695" spans="1:81" ht="15.75" x14ac:dyDescent="0.25">
      <c r="A695" s="68"/>
      <c r="B695" s="68"/>
      <c r="C695" s="68"/>
      <c r="D695" s="69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  <c r="AW695" s="68"/>
      <c r="AX695" s="68"/>
      <c r="AY695" s="68"/>
      <c r="AZ695" s="68"/>
      <c r="BA695" s="68"/>
      <c r="BB695" s="68"/>
      <c r="BC695" s="68"/>
      <c r="BD695" s="68"/>
      <c r="BE695" s="68"/>
      <c r="BF695" s="68"/>
      <c r="BG695" s="68"/>
      <c r="BH695" s="68"/>
      <c r="BI695" s="68"/>
      <c r="BJ695" s="68"/>
      <c r="BK695" s="68"/>
      <c r="BL695" s="68"/>
      <c r="BM695" s="68"/>
      <c r="BN695" s="68"/>
      <c r="BO695" s="68"/>
      <c r="BP695" s="68"/>
      <c r="BQ695" s="68"/>
      <c r="BR695" s="68"/>
      <c r="BS695" s="68"/>
      <c r="BT695" s="68"/>
      <c r="BU695" s="68"/>
      <c r="BV695" s="68"/>
      <c r="BW695" s="68"/>
      <c r="BX695" s="68"/>
      <c r="BY695" s="68"/>
      <c r="BZ695" s="68"/>
      <c r="CA695" s="68"/>
      <c r="CB695" s="68"/>
      <c r="CC695" s="68"/>
    </row>
    <row r="696" spans="1:81" ht="15.75" x14ac:dyDescent="0.25">
      <c r="A696" s="68"/>
      <c r="B696" s="68"/>
      <c r="C696" s="68"/>
      <c r="D696" s="69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  <c r="BA696" s="68"/>
      <c r="BB696" s="68"/>
      <c r="BC696" s="68"/>
      <c r="BD696" s="68"/>
      <c r="BE696" s="68"/>
      <c r="BF696" s="68"/>
      <c r="BG696" s="68"/>
      <c r="BH696" s="68"/>
      <c r="BI696" s="68"/>
      <c r="BJ696" s="68"/>
      <c r="BK696" s="68"/>
      <c r="BL696" s="68"/>
      <c r="BM696" s="68"/>
      <c r="BN696" s="68"/>
      <c r="BO696" s="68"/>
      <c r="BP696" s="68"/>
      <c r="BQ696" s="68"/>
      <c r="BR696" s="68"/>
      <c r="BS696" s="68"/>
      <c r="BT696" s="68"/>
      <c r="BU696" s="68"/>
      <c r="BV696" s="68"/>
      <c r="BW696" s="68"/>
      <c r="BX696" s="68"/>
      <c r="BY696" s="68"/>
      <c r="BZ696" s="68"/>
      <c r="CA696" s="68"/>
      <c r="CB696" s="68"/>
      <c r="CC696" s="68"/>
    </row>
    <row r="697" spans="1:81" ht="15.75" x14ac:dyDescent="0.25">
      <c r="A697" s="68"/>
      <c r="B697" s="68"/>
      <c r="C697" s="68"/>
      <c r="D697" s="69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68"/>
      <c r="AN697" s="68"/>
      <c r="AO697" s="68"/>
      <c r="AP697" s="68"/>
      <c r="AQ697" s="68"/>
      <c r="AR697" s="68"/>
      <c r="AS697" s="68"/>
      <c r="AT697" s="68"/>
      <c r="AU697" s="68"/>
      <c r="AV697" s="68"/>
      <c r="AW697" s="68"/>
      <c r="AX697" s="68"/>
      <c r="AY697" s="68"/>
      <c r="AZ697" s="68"/>
      <c r="BA697" s="68"/>
      <c r="BB697" s="68"/>
      <c r="BC697" s="68"/>
      <c r="BD697" s="68"/>
      <c r="BE697" s="68"/>
      <c r="BF697" s="68"/>
      <c r="BG697" s="68"/>
      <c r="BH697" s="68"/>
      <c r="BI697" s="68"/>
      <c r="BJ697" s="68"/>
      <c r="BK697" s="68"/>
      <c r="BL697" s="68"/>
      <c r="BM697" s="68"/>
      <c r="BN697" s="68"/>
      <c r="BO697" s="68"/>
      <c r="BP697" s="68"/>
      <c r="BQ697" s="68"/>
      <c r="BR697" s="68"/>
      <c r="BS697" s="68"/>
      <c r="BT697" s="68"/>
      <c r="BU697" s="68"/>
      <c r="BV697" s="68"/>
      <c r="BW697" s="68"/>
      <c r="BX697" s="68"/>
      <c r="BY697" s="68"/>
      <c r="BZ697" s="68"/>
      <c r="CA697" s="68"/>
      <c r="CB697" s="68"/>
      <c r="CC697" s="68"/>
    </row>
    <row r="698" spans="1:81" ht="15.75" x14ac:dyDescent="0.25">
      <c r="A698" s="68"/>
      <c r="B698" s="68"/>
      <c r="C698" s="68"/>
      <c r="D698" s="69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  <c r="AW698" s="68"/>
      <c r="AX698" s="68"/>
      <c r="AY698" s="68"/>
      <c r="AZ698" s="68"/>
      <c r="BA698" s="68"/>
      <c r="BB698" s="68"/>
      <c r="BC698" s="68"/>
      <c r="BD698" s="68"/>
      <c r="BE698" s="68"/>
      <c r="BF698" s="68"/>
      <c r="BG698" s="68"/>
      <c r="BH698" s="68"/>
      <c r="BI698" s="68"/>
      <c r="BJ698" s="68"/>
      <c r="BK698" s="68"/>
      <c r="BL698" s="68"/>
      <c r="BM698" s="68"/>
      <c r="BN698" s="68"/>
      <c r="BO698" s="68"/>
      <c r="BP698" s="68"/>
      <c r="BQ698" s="68"/>
      <c r="BR698" s="68"/>
      <c r="BS698" s="68"/>
      <c r="BT698" s="68"/>
      <c r="BU698" s="68"/>
      <c r="BV698" s="68"/>
      <c r="BW698" s="68"/>
      <c r="BX698" s="68"/>
      <c r="BY698" s="68"/>
      <c r="BZ698" s="68"/>
      <c r="CA698" s="68"/>
      <c r="CB698" s="68"/>
      <c r="CC698" s="68"/>
    </row>
    <row r="699" spans="1:81" ht="15.75" x14ac:dyDescent="0.25">
      <c r="A699" s="68"/>
      <c r="B699" s="68"/>
      <c r="C699" s="68"/>
      <c r="D699" s="69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68"/>
      <c r="AX699" s="68"/>
      <c r="AY699" s="68"/>
      <c r="AZ699" s="68"/>
      <c r="BA699" s="68"/>
      <c r="BB699" s="68"/>
      <c r="BC699" s="68"/>
      <c r="BD699" s="68"/>
      <c r="BE699" s="68"/>
      <c r="BF699" s="68"/>
      <c r="BG699" s="68"/>
      <c r="BH699" s="68"/>
      <c r="BI699" s="68"/>
      <c r="BJ699" s="68"/>
      <c r="BK699" s="68"/>
      <c r="BL699" s="68"/>
      <c r="BM699" s="68"/>
      <c r="BN699" s="68"/>
      <c r="BO699" s="68"/>
      <c r="BP699" s="68"/>
      <c r="BQ699" s="68"/>
      <c r="BR699" s="68"/>
      <c r="BS699" s="68"/>
      <c r="BT699" s="68"/>
      <c r="BU699" s="68"/>
      <c r="BV699" s="68"/>
      <c r="BW699" s="68"/>
      <c r="BX699" s="68"/>
      <c r="BY699" s="68"/>
      <c r="BZ699" s="68"/>
      <c r="CA699" s="68"/>
      <c r="CB699" s="68"/>
      <c r="CC699" s="68"/>
    </row>
    <row r="700" spans="1:81" ht="15.75" x14ac:dyDescent="0.25">
      <c r="A700" s="68"/>
      <c r="B700" s="68"/>
      <c r="C700" s="68"/>
      <c r="D700" s="69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  <c r="AW700" s="68"/>
      <c r="AX700" s="68"/>
      <c r="AY700" s="68"/>
      <c r="AZ700" s="68"/>
      <c r="BA700" s="68"/>
      <c r="BB700" s="68"/>
      <c r="BC700" s="68"/>
      <c r="BD700" s="68"/>
      <c r="BE700" s="68"/>
      <c r="BF700" s="68"/>
      <c r="BG700" s="68"/>
      <c r="BH700" s="68"/>
      <c r="BI700" s="68"/>
      <c r="BJ700" s="68"/>
      <c r="BK700" s="68"/>
      <c r="BL700" s="68"/>
      <c r="BM700" s="68"/>
      <c r="BN700" s="68"/>
      <c r="BO700" s="68"/>
      <c r="BP700" s="68"/>
      <c r="BQ700" s="68"/>
      <c r="BR700" s="68"/>
      <c r="BS700" s="68"/>
      <c r="BT700" s="68"/>
      <c r="BU700" s="68"/>
      <c r="BV700" s="68"/>
      <c r="BW700" s="68"/>
      <c r="BX700" s="68"/>
      <c r="BY700" s="68"/>
      <c r="BZ700" s="68"/>
      <c r="CA700" s="68"/>
      <c r="CB700" s="68"/>
      <c r="CC700" s="68"/>
    </row>
    <row r="701" spans="1:81" ht="15.75" x14ac:dyDescent="0.25">
      <c r="A701" s="68"/>
      <c r="B701" s="68"/>
      <c r="C701" s="68"/>
      <c r="D701" s="69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  <c r="AW701" s="68"/>
      <c r="AX701" s="68"/>
      <c r="AY701" s="68"/>
      <c r="AZ701" s="68"/>
      <c r="BA701" s="68"/>
      <c r="BB701" s="68"/>
      <c r="BC701" s="68"/>
      <c r="BD701" s="68"/>
      <c r="BE701" s="68"/>
      <c r="BF701" s="68"/>
      <c r="BG701" s="68"/>
      <c r="BH701" s="68"/>
      <c r="BI701" s="68"/>
      <c r="BJ701" s="68"/>
      <c r="BK701" s="68"/>
      <c r="BL701" s="68"/>
      <c r="BM701" s="68"/>
      <c r="BN701" s="68"/>
      <c r="BO701" s="68"/>
      <c r="BP701" s="68"/>
      <c r="BQ701" s="68"/>
      <c r="BR701" s="68"/>
      <c r="BS701" s="68"/>
      <c r="BT701" s="68"/>
      <c r="BU701" s="68"/>
      <c r="BV701" s="68"/>
      <c r="BW701" s="68"/>
      <c r="BX701" s="68"/>
      <c r="BY701" s="68"/>
      <c r="BZ701" s="68"/>
      <c r="CA701" s="68"/>
      <c r="CB701" s="68"/>
      <c r="CC701" s="68"/>
    </row>
    <row r="702" spans="1:81" ht="15.75" x14ac:dyDescent="0.25">
      <c r="A702" s="68"/>
      <c r="B702" s="68"/>
      <c r="C702" s="68"/>
      <c r="D702" s="69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  <c r="BA702" s="68"/>
      <c r="BB702" s="68"/>
      <c r="BC702" s="68"/>
      <c r="BD702" s="68"/>
      <c r="BE702" s="68"/>
      <c r="BF702" s="68"/>
      <c r="BG702" s="68"/>
      <c r="BH702" s="68"/>
      <c r="BI702" s="68"/>
      <c r="BJ702" s="68"/>
      <c r="BK702" s="68"/>
      <c r="BL702" s="68"/>
      <c r="BM702" s="68"/>
      <c r="BN702" s="68"/>
      <c r="BO702" s="68"/>
      <c r="BP702" s="68"/>
      <c r="BQ702" s="68"/>
      <c r="BR702" s="68"/>
      <c r="BS702" s="68"/>
      <c r="BT702" s="68"/>
      <c r="BU702" s="68"/>
      <c r="BV702" s="68"/>
      <c r="BW702" s="68"/>
      <c r="BX702" s="68"/>
      <c r="BY702" s="68"/>
      <c r="BZ702" s="68"/>
      <c r="CA702" s="68"/>
      <c r="CB702" s="68"/>
      <c r="CC702" s="68"/>
    </row>
    <row r="703" spans="1:81" ht="15.75" x14ac:dyDescent="0.25">
      <c r="A703" s="68"/>
      <c r="B703" s="68"/>
      <c r="C703" s="68"/>
      <c r="D703" s="69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68"/>
      <c r="AX703" s="68"/>
      <c r="AY703" s="68"/>
      <c r="AZ703" s="68"/>
      <c r="BA703" s="68"/>
      <c r="BB703" s="68"/>
      <c r="BC703" s="68"/>
      <c r="BD703" s="68"/>
      <c r="BE703" s="68"/>
      <c r="BF703" s="68"/>
      <c r="BG703" s="68"/>
      <c r="BH703" s="68"/>
      <c r="BI703" s="68"/>
      <c r="BJ703" s="68"/>
      <c r="BK703" s="68"/>
      <c r="BL703" s="68"/>
      <c r="BM703" s="68"/>
      <c r="BN703" s="68"/>
      <c r="BO703" s="68"/>
      <c r="BP703" s="68"/>
      <c r="BQ703" s="68"/>
      <c r="BR703" s="68"/>
      <c r="BS703" s="68"/>
      <c r="BT703" s="68"/>
      <c r="BU703" s="68"/>
      <c r="BV703" s="68"/>
      <c r="BW703" s="68"/>
      <c r="BX703" s="68"/>
      <c r="BY703" s="68"/>
      <c r="BZ703" s="68"/>
      <c r="CA703" s="68"/>
      <c r="CB703" s="68"/>
      <c r="CC703" s="68"/>
    </row>
    <row r="704" spans="1:81" ht="15.75" x14ac:dyDescent="0.25">
      <c r="A704" s="68"/>
      <c r="B704" s="68"/>
      <c r="C704" s="68"/>
      <c r="D704" s="69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  <c r="BA704" s="68"/>
      <c r="BB704" s="68"/>
      <c r="BC704" s="68"/>
      <c r="BD704" s="68"/>
      <c r="BE704" s="68"/>
      <c r="BF704" s="68"/>
      <c r="BG704" s="68"/>
      <c r="BH704" s="68"/>
      <c r="BI704" s="68"/>
      <c r="BJ704" s="68"/>
      <c r="BK704" s="68"/>
      <c r="BL704" s="68"/>
      <c r="BM704" s="68"/>
      <c r="BN704" s="68"/>
      <c r="BO704" s="68"/>
      <c r="BP704" s="68"/>
      <c r="BQ704" s="68"/>
      <c r="BR704" s="68"/>
      <c r="BS704" s="68"/>
      <c r="BT704" s="68"/>
      <c r="BU704" s="68"/>
      <c r="BV704" s="68"/>
      <c r="BW704" s="68"/>
      <c r="BX704" s="68"/>
      <c r="BY704" s="68"/>
      <c r="BZ704" s="68"/>
      <c r="CA704" s="68"/>
      <c r="CB704" s="68"/>
      <c r="CC704" s="68"/>
    </row>
    <row r="705" spans="1:81" ht="15.75" x14ac:dyDescent="0.25">
      <c r="A705" s="68"/>
      <c r="B705" s="68"/>
      <c r="C705" s="68"/>
      <c r="D705" s="69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  <c r="AW705" s="68"/>
      <c r="AX705" s="68"/>
      <c r="AY705" s="68"/>
      <c r="AZ705" s="68"/>
      <c r="BA705" s="68"/>
      <c r="BB705" s="68"/>
      <c r="BC705" s="68"/>
      <c r="BD705" s="68"/>
      <c r="BE705" s="68"/>
      <c r="BF705" s="68"/>
      <c r="BG705" s="68"/>
      <c r="BH705" s="68"/>
      <c r="BI705" s="68"/>
      <c r="BJ705" s="68"/>
      <c r="BK705" s="68"/>
      <c r="BL705" s="68"/>
      <c r="BM705" s="68"/>
      <c r="BN705" s="68"/>
      <c r="BO705" s="68"/>
      <c r="BP705" s="68"/>
      <c r="BQ705" s="68"/>
      <c r="BR705" s="68"/>
      <c r="BS705" s="68"/>
      <c r="BT705" s="68"/>
      <c r="BU705" s="68"/>
      <c r="BV705" s="68"/>
      <c r="BW705" s="68"/>
      <c r="BX705" s="68"/>
      <c r="BY705" s="68"/>
      <c r="BZ705" s="68"/>
      <c r="CA705" s="68"/>
      <c r="CB705" s="68"/>
      <c r="CC705" s="68"/>
    </row>
    <row r="706" spans="1:81" ht="15.75" x14ac:dyDescent="0.25">
      <c r="A706" s="68"/>
      <c r="B706" s="68"/>
      <c r="C706" s="68"/>
      <c r="D706" s="69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  <c r="BA706" s="68"/>
      <c r="BB706" s="68"/>
      <c r="BC706" s="68"/>
      <c r="BD706" s="68"/>
      <c r="BE706" s="68"/>
      <c r="BF706" s="68"/>
      <c r="BG706" s="68"/>
      <c r="BH706" s="68"/>
      <c r="BI706" s="68"/>
      <c r="BJ706" s="68"/>
      <c r="BK706" s="68"/>
      <c r="BL706" s="68"/>
      <c r="BM706" s="68"/>
      <c r="BN706" s="68"/>
      <c r="BO706" s="68"/>
      <c r="BP706" s="68"/>
      <c r="BQ706" s="68"/>
      <c r="BR706" s="68"/>
      <c r="BS706" s="68"/>
      <c r="BT706" s="68"/>
      <c r="BU706" s="68"/>
      <c r="BV706" s="68"/>
      <c r="BW706" s="68"/>
      <c r="BX706" s="68"/>
      <c r="BY706" s="68"/>
      <c r="BZ706" s="68"/>
      <c r="CA706" s="68"/>
      <c r="CB706" s="68"/>
      <c r="CC706" s="68"/>
    </row>
    <row r="707" spans="1:81" ht="15.75" x14ac:dyDescent="0.25">
      <c r="A707" s="68"/>
      <c r="B707" s="68"/>
      <c r="C707" s="68"/>
      <c r="D707" s="69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  <c r="AW707" s="68"/>
      <c r="AX707" s="68"/>
      <c r="AY707" s="68"/>
      <c r="AZ707" s="68"/>
      <c r="BA707" s="68"/>
      <c r="BB707" s="68"/>
      <c r="BC707" s="68"/>
      <c r="BD707" s="68"/>
      <c r="BE707" s="68"/>
      <c r="BF707" s="68"/>
      <c r="BG707" s="68"/>
      <c r="BH707" s="68"/>
      <c r="BI707" s="68"/>
      <c r="BJ707" s="68"/>
      <c r="BK707" s="68"/>
      <c r="BL707" s="68"/>
      <c r="BM707" s="68"/>
      <c r="BN707" s="68"/>
      <c r="BO707" s="68"/>
      <c r="BP707" s="68"/>
      <c r="BQ707" s="68"/>
      <c r="BR707" s="68"/>
      <c r="BS707" s="68"/>
      <c r="BT707" s="68"/>
      <c r="BU707" s="68"/>
      <c r="BV707" s="68"/>
      <c r="BW707" s="68"/>
      <c r="BX707" s="68"/>
      <c r="BY707" s="68"/>
      <c r="BZ707" s="68"/>
      <c r="CA707" s="68"/>
      <c r="CB707" s="68"/>
      <c r="CC707" s="68"/>
    </row>
    <row r="708" spans="1:81" ht="15.75" x14ac:dyDescent="0.25">
      <c r="A708" s="68"/>
      <c r="B708" s="68"/>
      <c r="C708" s="68"/>
      <c r="D708" s="69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  <c r="AW708" s="68"/>
      <c r="AX708" s="68"/>
      <c r="AY708" s="68"/>
      <c r="AZ708" s="68"/>
      <c r="BA708" s="68"/>
      <c r="BB708" s="68"/>
      <c r="BC708" s="68"/>
      <c r="BD708" s="68"/>
      <c r="BE708" s="68"/>
      <c r="BF708" s="68"/>
      <c r="BG708" s="68"/>
      <c r="BH708" s="68"/>
      <c r="BI708" s="68"/>
      <c r="BJ708" s="68"/>
      <c r="BK708" s="68"/>
      <c r="BL708" s="68"/>
      <c r="BM708" s="68"/>
      <c r="BN708" s="68"/>
      <c r="BO708" s="68"/>
      <c r="BP708" s="68"/>
      <c r="BQ708" s="68"/>
      <c r="BR708" s="68"/>
      <c r="BS708" s="68"/>
      <c r="BT708" s="68"/>
      <c r="BU708" s="68"/>
      <c r="BV708" s="68"/>
      <c r="BW708" s="68"/>
      <c r="BX708" s="68"/>
      <c r="BY708" s="68"/>
      <c r="BZ708" s="68"/>
      <c r="CA708" s="68"/>
      <c r="CB708" s="68"/>
      <c r="CC708" s="68"/>
    </row>
    <row r="709" spans="1:81" ht="15.75" x14ac:dyDescent="0.25">
      <c r="A709" s="68"/>
      <c r="B709" s="68"/>
      <c r="C709" s="68"/>
      <c r="D709" s="69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  <c r="AW709" s="68"/>
      <c r="AX709" s="68"/>
      <c r="AY709" s="68"/>
      <c r="AZ709" s="68"/>
      <c r="BA709" s="68"/>
      <c r="BB709" s="68"/>
      <c r="BC709" s="68"/>
      <c r="BD709" s="68"/>
      <c r="BE709" s="68"/>
      <c r="BF709" s="68"/>
      <c r="BG709" s="68"/>
      <c r="BH709" s="68"/>
      <c r="BI709" s="68"/>
      <c r="BJ709" s="68"/>
      <c r="BK709" s="68"/>
      <c r="BL709" s="68"/>
      <c r="BM709" s="68"/>
      <c r="BN709" s="68"/>
      <c r="BO709" s="68"/>
      <c r="BP709" s="68"/>
      <c r="BQ709" s="68"/>
      <c r="BR709" s="68"/>
      <c r="BS709" s="68"/>
      <c r="BT709" s="68"/>
      <c r="BU709" s="68"/>
      <c r="BV709" s="68"/>
      <c r="BW709" s="68"/>
      <c r="BX709" s="68"/>
      <c r="BY709" s="68"/>
      <c r="BZ709" s="68"/>
      <c r="CA709" s="68"/>
      <c r="CB709" s="68"/>
      <c r="CC709" s="68"/>
    </row>
    <row r="710" spans="1:81" ht="15.75" x14ac:dyDescent="0.25">
      <c r="A710" s="68"/>
      <c r="B710" s="68"/>
      <c r="C710" s="68"/>
      <c r="D710" s="69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68"/>
      <c r="AV710" s="68"/>
      <c r="AW710" s="68"/>
      <c r="AX710" s="68"/>
      <c r="AY710" s="68"/>
      <c r="AZ710" s="68"/>
      <c r="BA710" s="68"/>
      <c r="BB710" s="68"/>
      <c r="BC710" s="68"/>
      <c r="BD710" s="68"/>
      <c r="BE710" s="68"/>
      <c r="BF710" s="68"/>
      <c r="BG710" s="68"/>
      <c r="BH710" s="68"/>
      <c r="BI710" s="68"/>
      <c r="BJ710" s="68"/>
      <c r="BK710" s="68"/>
      <c r="BL710" s="68"/>
      <c r="BM710" s="68"/>
      <c r="BN710" s="68"/>
      <c r="BO710" s="68"/>
      <c r="BP710" s="68"/>
      <c r="BQ710" s="68"/>
      <c r="BR710" s="68"/>
      <c r="BS710" s="68"/>
      <c r="BT710" s="68"/>
      <c r="BU710" s="68"/>
      <c r="BV710" s="68"/>
      <c r="BW710" s="68"/>
      <c r="BX710" s="68"/>
      <c r="BY710" s="68"/>
      <c r="BZ710" s="68"/>
      <c r="CA710" s="68"/>
      <c r="CB710" s="68"/>
      <c r="CC710" s="68"/>
    </row>
    <row r="711" spans="1:81" ht="15.75" x14ac:dyDescent="0.25">
      <c r="A711" s="68"/>
      <c r="B711" s="68"/>
      <c r="C711" s="68"/>
      <c r="D711" s="69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  <c r="AW711" s="68"/>
      <c r="AX711" s="68"/>
      <c r="AY711" s="68"/>
      <c r="AZ711" s="68"/>
      <c r="BA711" s="68"/>
      <c r="BB711" s="68"/>
      <c r="BC711" s="68"/>
      <c r="BD711" s="68"/>
      <c r="BE711" s="68"/>
      <c r="BF711" s="68"/>
      <c r="BG711" s="68"/>
      <c r="BH711" s="68"/>
      <c r="BI711" s="68"/>
      <c r="BJ711" s="68"/>
      <c r="BK711" s="68"/>
      <c r="BL711" s="68"/>
      <c r="BM711" s="68"/>
      <c r="BN711" s="68"/>
      <c r="BO711" s="68"/>
      <c r="BP711" s="68"/>
      <c r="BQ711" s="68"/>
      <c r="BR711" s="68"/>
      <c r="BS711" s="68"/>
      <c r="BT711" s="68"/>
      <c r="BU711" s="68"/>
      <c r="BV711" s="68"/>
      <c r="BW711" s="68"/>
      <c r="BX711" s="68"/>
      <c r="BY711" s="68"/>
      <c r="BZ711" s="68"/>
      <c r="CA711" s="68"/>
      <c r="CB711" s="68"/>
      <c r="CC711" s="68"/>
    </row>
    <row r="712" spans="1:81" ht="15.75" x14ac:dyDescent="0.25">
      <c r="A712" s="68"/>
      <c r="B712" s="68"/>
      <c r="C712" s="68"/>
      <c r="D712" s="69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  <c r="AW712" s="68"/>
      <c r="AX712" s="68"/>
      <c r="AY712" s="68"/>
      <c r="AZ712" s="68"/>
      <c r="BA712" s="68"/>
      <c r="BB712" s="68"/>
      <c r="BC712" s="68"/>
      <c r="BD712" s="68"/>
      <c r="BE712" s="68"/>
      <c r="BF712" s="68"/>
      <c r="BG712" s="68"/>
      <c r="BH712" s="68"/>
      <c r="BI712" s="68"/>
      <c r="BJ712" s="68"/>
      <c r="BK712" s="68"/>
      <c r="BL712" s="68"/>
      <c r="BM712" s="68"/>
      <c r="BN712" s="68"/>
      <c r="BO712" s="68"/>
      <c r="BP712" s="68"/>
      <c r="BQ712" s="68"/>
      <c r="BR712" s="68"/>
      <c r="BS712" s="68"/>
      <c r="BT712" s="68"/>
      <c r="BU712" s="68"/>
      <c r="BV712" s="68"/>
      <c r="BW712" s="68"/>
      <c r="BX712" s="68"/>
      <c r="BY712" s="68"/>
      <c r="BZ712" s="68"/>
      <c r="CA712" s="68"/>
      <c r="CB712" s="68"/>
      <c r="CC712" s="68"/>
    </row>
    <row r="713" spans="1:81" ht="15.75" x14ac:dyDescent="0.25">
      <c r="A713" s="68"/>
      <c r="B713" s="68"/>
      <c r="C713" s="68"/>
      <c r="D713" s="69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  <c r="AW713" s="68"/>
      <c r="AX713" s="68"/>
      <c r="AY713" s="68"/>
      <c r="AZ713" s="68"/>
      <c r="BA713" s="68"/>
      <c r="BB713" s="68"/>
      <c r="BC713" s="68"/>
      <c r="BD713" s="68"/>
      <c r="BE713" s="68"/>
      <c r="BF713" s="68"/>
      <c r="BG713" s="68"/>
      <c r="BH713" s="68"/>
      <c r="BI713" s="68"/>
      <c r="BJ713" s="68"/>
      <c r="BK713" s="68"/>
      <c r="BL713" s="68"/>
      <c r="BM713" s="68"/>
      <c r="BN713" s="68"/>
      <c r="BO713" s="68"/>
      <c r="BP713" s="68"/>
      <c r="BQ713" s="68"/>
      <c r="BR713" s="68"/>
      <c r="BS713" s="68"/>
      <c r="BT713" s="68"/>
      <c r="BU713" s="68"/>
      <c r="BV713" s="68"/>
      <c r="BW713" s="68"/>
      <c r="BX713" s="68"/>
      <c r="BY713" s="68"/>
      <c r="BZ713" s="68"/>
      <c r="CA713" s="68"/>
      <c r="CB713" s="68"/>
      <c r="CC713" s="68"/>
    </row>
    <row r="714" spans="1:81" ht="15.75" x14ac:dyDescent="0.25">
      <c r="A714" s="68"/>
      <c r="B714" s="68"/>
      <c r="C714" s="68"/>
      <c r="D714" s="69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  <c r="AW714" s="68"/>
      <c r="AX714" s="68"/>
      <c r="AY714" s="68"/>
      <c r="AZ714" s="68"/>
      <c r="BA714" s="68"/>
      <c r="BB714" s="68"/>
      <c r="BC714" s="68"/>
      <c r="BD714" s="68"/>
      <c r="BE714" s="68"/>
      <c r="BF714" s="68"/>
      <c r="BG714" s="68"/>
      <c r="BH714" s="68"/>
      <c r="BI714" s="68"/>
      <c r="BJ714" s="68"/>
      <c r="BK714" s="68"/>
      <c r="BL714" s="68"/>
      <c r="BM714" s="68"/>
      <c r="BN714" s="68"/>
      <c r="BO714" s="68"/>
      <c r="BP714" s="68"/>
      <c r="BQ714" s="68"/>
      <c r="BR714" s="68"/>
      <c r="BS714" s="68"/>
      <c r="BT714" s="68"/>
      <c r="BU714" s="68"/>
      <c r="BV714" s="68"/>
      <c r="BW714" s="68"/>
      <c r="BX714" s="68"/>
      <c r="BY714" s="68"/>
      <c r="BZ714" s="68"/>
      <c r="CA714" s="68"/>
      <c r="CB714" s="68"/>
      <c r="CC714" s="68"/>
    </row>
    <row r="715" spans="1:81" ht="15.75" x14ac:dyDescent="0.25">
      <c r="A715" s="68"/>
      <c r="B715" s="68"/>
      <c r="C715" s="68"/>
      <c r="D715" s="69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  <c r="AW715" s="68"/>
      <c r="AX715" s="68"/>
      <c r="AY715" s="68"/>
      <c r="AZ715" s="68"/>
      <c r="BA715" s="68"/>
      <c r="BB715" s="68"/>
      <c r="BC715" s="68"/>
      <c r="BD715" s="68"/>
      <c r="BE715" s="68"/>
      <c r="BF715" s="68"/>
      <c r="BG715" s="68"/>
      <c r="BH715" s="68"/>
      <c r="BI715" s="68"/>
      <c r="BJ715" s="68"/>
      <c r="BK715" s="68"/>
      <c r="BL715" s="68"/>
      <c r="BM715" s="68"/>
      <c r="BN715" s="68"/>
      <c r="BO715" s="68"/>
      <c r="BP715" s="68"/>
      <c r="BQ715" s="68"/>
      <c r="BR715" s="68"/>
      <c r="BS715" s="68"/>
      <c r="BT715" s="68"/>
      <c r="BU715" s="68"/>
      <c r="BV715" s="68"/>
      <c r="BW715" s="68"/>
      <c r="BX715" s="68"/>
      <c r="BY715" s="68"/>
      <c r="BZ715" s="68"/>
      <c r="CA715" s="68"/>
      <c r="CB715" s="68"/>
      <c r="CC715" s="68"/>
    </row>
    <row r="716" spans="1:81" ht="15.75" x14ac:dyDescent="0.25">
      <c r="A716" s="68"/>
      <c r="B716" s="68"/>
      <c r="C716" s="68"/>
      <c r="D716" s="69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  <c r="AW716" s="68"/>
      <c r="AX716" s="68"/>
      <c r="AY716" s="68"/>
      <c r="AZ716" s="68"/>
      <c r="BA716" s="68"/>
      <c r="BB716" s="68"/>
      <c r="BC716" s="68"/>
      <c r="BD716" s="68"/>
      <c r="BE716" s="68"/>
      <c r="BF716" s="68"/>
      <c r="BG716" s="68"/>
      <c r="BH716" s="68"/>
      <c r="BI716" s="68"/>
      <c r="BJ716" s="68"/>
      <c r="BK716" s="68"/>
      <c r="BL716" s="68"/>
      <c r="BM716" s="68"/>
      <c r="BN716" s="68"/>
      <c r="BO716" s="68"/>
      <c r="BP716" s="68"/>
      <c r="BQ716" s="68"/>
      <c r="BR716" s="68"/>
      <c r="BS716" s="68"/>
      <c r="BT716" s="68"/>
      <c r="BU716" s="68"/>
      <c r="BV716" s="68"/>
      <c r="BW716" s="68"/>
      <c r="BX716" s="68"/>
      <c r="BY716" s="68"/>
      <c r="BZ716" s="68"/>
      <c r="CA716" s="68"/>
      <c r="CB716" s="68"/>
      <c r="CC716" s="68"/>
    </row>
    <row r="717" spans="1:81" ht="15.75" x14ac:dyDescent="0.25">
      <c r="A717" s="68"/>
      <c r="B717" s="68"/>
      <c r="C717" s="68"/>
      <c r="D717" s="69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  <c r="BA717" s="68"/>
      <c r="BB717" s="68"/>
      <c r="BC717" s="68"/>
      <c r="BD717" s="68"/>
      <c r="BE717" s="68"/>
      <c r="BF717" s="68"/>
      <c r="BG717" s="68"/>
      <c r="BH717" s="68"/>
      <c r="BI717" s="68"/>
      <c r="BJ717" s="68"/>
      <c r="BK717" s="68"/>
      <c r="BL717" s="68"/>
      <c r="BM717" s="68"/>
      <c r="BN717" s="68"/>
      <c r="BO717" s="68"/>
      <c r="BP717" s="68"/>
      <c r="BQ717" s="68"/>
      <c r="BR717" s="68"/>
      <c r="BS717" s="68"/>
      <c r="BT717" s="68"/>
      <c r="BU717" s="68"/>
      <c r="BV717" s="68"/>
      <c r="BW717" s="68"/>
      <c r="BX717" s="68"/>
      <c r="BY717" s="68"/>
      <c r="BZ717" s="68"/>
      <c r="CA717" s="68"/>
      <c r="CB717" s="68"/>
      <c r="CC717" s="68"/>
    </row>
    <row r="718" spans="1:81" ht="15.75" x14ac:dyDescent="0.25">
      <c r="A718" s="68"/>
      <c r="B718" s="68"/>
      <c r="C718" s="68"/>
      <c r="D718" s="69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  <c r="BA718" s="68"/>
      <c r="BB718" s="68"/>
      <c r="BC718" s="68"/>
      <c r="BD718" s="68"/>
      <c r="BE718" s="68"/>
      <c r="BF718" s="68"/>
      <c r="BG718" s="68"/>
      <c r="BH718" s="68"/>
      <c r="BI718" s="68"/>
      <c r="BJ718" s="68"/>
      <c r="BK718" s="68"/>
      <c r="BL718" s="68"/>
      <c r="BM718" s="68"/>
      <c r="BN718" s="68"/>
      <c r="BO718" s="68"/>
      <c r="BP718" s="68"/>
      <c r="BQ718" s="68"/>
      <c r="BR718" s="68"/>
      <c r="BS718" s="68"/>
      <c r="BT718" s="68"/>
      <c r="BU718" s="68"/>
      <c r="BV718" s="68"/>
      <c r="BW718" s="68"/>
      <c r="BX718" s="68"/>
      <c r="BY718" s="68"/>
      <c r="BZ718" s="68"/>
      <c r="CA718" s="68"/>
      <c r="CB718" s="68"/>
      <c r="CC718" s="68"/>
    </row>
    <row r="719" spans="1:81" ht="15.75" x14ac:dyDescent="0.25">
      <c r="A719" s="68"/>
      <c r="B719" s="68"/>
      <c r="C719" s="68"/>
      <c r="D719" s="69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  <c r="AW719" s="68"/>
      <c r="AX719" s="68"/>
      <c r="AY719" s="68"/>
      <c r="AZ719" s="68"/>
      <c r="BA719" s="68"/>
      <c r="BB719" s="68"/>
      <c r="BC719" s="68"/>
      <c r="BD719" s="68"/>
      <c r="BE719" s="68"/>
      <c r="BF719" s="68"/>
      <c r="BG719" s="68"/>
      <c r="BH719" s="68"/>
      <c r="BI719" s="68"/>
      <c r="BJ719" s="68"/>
      <c r="BK719" s="68"/>
      <c r="BL719" s="68"/>
      <c r="BM719" s="68"/>
      <c r="BN719" s="68"/>
      <c r="BO719" s="68"/>
      <c r="BP719" s="68"/>
      <c r="BQ719" s="68"/>
      <c r="BR719" s="68"/>
      <c r="BS719" s="68"/>
      <c r="BT719" s="68"/>
      <c r="BU719" s="68"/>
      <c r="BV719" s="68"/>
      <c r="BW719" s="68"/>
      <c r="BX719" s="68"/>
      <c r="BY719" s="68"/>
      <c r="BZ719" s="68"/>
      <c r="CA719" s="68"/>
      <c r="CB719" s="68"/>
      <c r="CC719" s="68"/>
    </row>
    <row r="720" spans="1:81" ht="15.75" x14ac:dyDescent="0.25">
      <c r="A720" s="68"/>
      <c r="B720" s="68"/>
      <c r="C720" s="68"/>
      <c r="D720" s="69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  <c r="BA720" s="68"/>
      <c r="BB720" s="68"/>
      <c r="BC720" s="68"/>
      <c r="BD720" s="68"/>
      <c r="BE720" s="68"/>
      <c r="BF720" s="68"/>
      <c r="BG720" s="68"/>
      <c r="BH720" s="68"/>
      <c r="BI720" s="68"/>
      <c r="BJ720" s="68"/>
      <c r="BK720" s="68"/>
      <c r="BL720" s="68"/>
      <c r="BM720" s="68"/>
      <c r="BN720" s="68"/>
      <c r="BO720" s="68"/>
      <c r="BP720" s="68"/>
      <c r="BQ720" s="68"/>
      <c r="BR720" s="68"/>
      <c r="BS720" s="68"/>
      <c r="BT720" s="68"/>
      <c r="BU720" s="68"/>
      <c r="BV720" s="68"/>
      <c r="BW720" s="68"/>
      <c r="BX720" s="68"/>
      <c r="BY720" s="68"/>
      <c r="BZ720" s="68"/>
      <c r="CA720" s="68"/>
      <c r="CB720" s="68"/>
      <c r="CC720" s="68"/>
    </row>
    <row r="721" spans="1:81" ht="15.75" x14ac:dyDescent="0.25">
      <c r="A721" s="68"/>
      <c r="B721" s="68"/>
      <c r="C721" s="68"/>
      <c r="D721" s="69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  <c r="AW721" s="68"/>
      <c r="AX721" s="68"/>
      <c r="AY721" s="68"/>
      <c r="AZ721" s="68"/>
      <c r="BA721" s="68"/>
      <c r="BB721" s="68"/>
      <c r="BC721" s="68"/>
      <c r="BD721" s="68"/>
      <c r="BE721" s="68"/>
      <c r="BF721" s="68"/>
      <c r="BG721" s="68"/>
      <c r="BH721" s="68"/>
      <c r="BI721" s="68"/>
      <c r="BJ721" s="68"/>
      <c r="BK721" s="68"/>
      <c r="BL721" s="68"/>
      <c r="BM721" s="68"/>
      <c r="BN721" s="68"/>
      <c r="BO721" s="68"/>
      <c r="BP721" s="68"/>
      <c r="BQ721" s="68"/>
      <c r="BR721" s="68"/>
      <c r="BS721" s="68"/>
      <c r="BT721" s="68"/>
      <c r="BU721" s="68"/>
      <c r="BV721" s="68"/>
      <c r="BW721" s="68"/>
      <c r="BX721" s="68"/>
      <c r="BY721" s="68"/>
      <c r="BZ721" s="68"/>
      <c r="CA721" s="68"/>
      <c r="CB721" s="68"/>
      <c r="CC721" s="68"/>
    </row>
    <row r="722" spans="1:81" ht="15.75" x14ac:dyDescent="0.25">
      <c r="A722" s="68"/>
      <c r="B722" s="68"/>
      <c r="C722" s="68"/>
      <c r="D722" s="69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  <c r="AW722" s="68"/>
      <c r="AX722" s="68"/>
      <c r="AY722" s="68"/>
      <c r="AZ722" s="68"/>
      <c r="BA722" s="68"/>
      <c r="BB722" s="68"/>
      <c r="BC722" s="68"/>
      <c r="BD722" s="68"/>
      <c r="BE722" s="68"/>
      <c r="BF722" s="68"/>
      <c r="BG722" s="68"/>
      <c r="BH722" s="68"/>
      <c r="BI722" s="68"/>
      <c r="BJ722" s="68"/>
      <c r="BK722" s="68"/>
      <c r="BL722" s="68"/>
      <c r="BM722" s="68"/>
      <c r="BN722" s="68"/>
      <c r="BO722" s="68"/>
      <c r="BP722" s="68"/>
      <c r="BQ722" s="68"/>
      <c r="BR722" s="68"/>
      <c r="BS722" s="68"/>
      <c r="BT722" s="68"/>
      <c r="BU722" s="68"/>
      <c r="BV722" s="68"/>
      <c r="BW722" s="68"/>
      <c r="BX722" s="68"/>
      <c r="BY722" s="68"/>
      <c r="BZ722" s="68"/>
      <c r="CA722" s="68"/>
      <c r="CB722" s="68"/>
      <c r="CC722" s="68"/>
    </row>
    <row r="723" spans="1:81" ht="15.75" x14ac:dyDescent="0.25">
      <c r="A723" s="68"/>
      <c r="B723" s="68"/>
      <c r="C723" s="68"/>
      <c r="D723" s="69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  <c r="AW723" s="68"/>
      <c r="AX723" s="68"/>
      <c r="AY723" s="68"/>
      <c r="AZ723" s="68"/>
      <c r="BA723" s="68"/>
      <c r="BB723" s="68"/>
      <c r="BC723" s="68"/>
      <c r="BD723" s="68"/>
      <c r="BE723" s="68"/>
      <c r="BF723" s="68"/>
      <c r="BG723" s="68"/>
      <c r="BH723" s="68"/>
      <c r="BI723" s="68"/>
      <c r="BJ723" s="68"/>
      <c r="BK723" s="68"/>
      <c r="BL723" s="68"/>
      <c r="BM723" s="68"/>
      <c r="BN723" s="68"/>
      <c r="BO723" s="68"/>
      <c r="BP723" s="68"/>
      <c r="BQ723" s="68"/>
      <c r="BR723" s="68"/>
      <c r="BS723" s="68"/>
      <c r="BT723" s="68"/>
      <c r="BU723" s="68"/>
      <c r="BV723" s="68"/>
      <c r="BW723" s="68"/>
      <c r="BX723" s="68"/>
      <c r="BY723" s="68"/>
      <c r="BZ723" s="68"/>
      <c r="CA723" s="68"/>
      <c r="CB723" s="68"/>
      <c r="CC723" s="68"/>
    </row>
    <row r="724" spans="1:81" ht="15.75" x14ac:dyDescent="0.25">
      <c r="A724" s="68"/>
      <c r="B724" s="68"/>
      <c r="C724" s="68"/>
      <c r="D724" s="69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  <c r="AW724" s="68"/>
      <c r="AX724" s="68"/>
      <c r="AY724" s="68"/>
      <c r="AZ724" s="68"/>
      <c r="BA724" s="68"/>
      <c r="BB724" s="68"/>
      <c r="BC724" s="68"/>
      <c r="BD724" s="68"/>
      <c r="BE724" s="68"/>
      <c r="BF724" s="68"/>
      <c r="BG724" s="68"/>
      <c r="BH724" s="68"/>
      <c r="BI724" s="68"/>
      <c r="BJ724" s="68"/>
      <c r="BK724" s="68"/>
      <c r="BL724" s="68"/>
      <c r="BM724" s="68"/>
      <c r="BN724" s="68"/>
      <c r="BO724" s="68"/>
      <c r="BP724" s="68"/>
      <c r="BQ724" s="68"/>
      <c r="BR724" s="68"/>
      <c r="BS724" s="68"/>
      <c r="BT724" s="68"/>
      <c r="BU724" s="68"/>
      <c r="BV724" s="68"/>
      <c r="BW724" s="68"/>
      <c r="BX724" s="68"/>
      <c r="BY724" s="68"/>
      <c r="BZ724" s="68"/>
      <c r="CA724" s="68"/>
      <c r="CB724" s="68"/>
      <c r="CC724" s="68"/>
    </row>
    <row r="725" spans="1:81" ht="15.75" x14ac:dyDescent="0.25">
      <c r="A725" s="68"/>
      <c r="B725" s="68"/>
      <c r="C725" s="68"/>
      <c r="D725" s="69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  <c r="AW725" s="68"/>
      <c r="AX725" s="68"/>
      <c r="AY725" s="68"/>
      <c r="AZ725" s="68"/>
      <c r="BA725" s="68"/>
      <c r="BB725" s="68"/>
      <c r="BC725" s="68"/>
      <c r="BD725" s="68"/>
      <c r="BE725" s="68"/>
      <c r="BF725" s="68"/>
      <c r="BG725" s="68"/>
      <c r="BH725" s="68"/>
      <c r="BI725" s="68"/>
      <c r="BJ725" s="68"/>
      <c r="BK725" s="68"/>
      <c r="BL725" s="68"/>
      <c r="BM725" s="68"/>
      <c r="BN725" s="68"/>
      <c r="BO725" s="68"/>
      <c r="BP725" s="68"/>
      <c r="BQ725" s="68"/>
      <c r="BR725" s="68"/>
      <c r="BS725" s="68"/>
      <c r="BT725" s="68"/>
      <c r="BU725" s="68"/>
      <c r="BV725" s="68"/>
      <c r="BW725" s="68"/>
      <c r="BX725" s="68"/>
      <c r="BY725" s="68"/>
      <c r="BZ725" s="68"/>
      <c r="CA725" s="68"/>
      <c r="CB725" s="68"/>
      <c r="CC725" s="68"/>
    </row>
    <row r="726" spans="1:81" ht="15.75" x14ac:dyDescent="0.25">
      <c r="A726" s="68"/>
      <c r="B726" s="68"/>
      <c r="C726" s="68"/>
      <c r="D726" s="69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  <c r="AW726" s="68"/>
      <c r="AX726" s="68"/>
      <c r="AY726" s="68"/>
      <c r="AZ726" s="68"/>
      <c r="BA726" s="68"/>
      <c r="BB726" s="68"/>
      <c r="BC726" s="68"/>
      <c r="BD726" s="68"/>
      <c r="BE726" s="68"/>
      <c r="BF726" s="68"/>
      <c r="BG726" s="68"/>
      <c r="BH726" s="68"/>
      <c r="BI726" s="68"/>
      <c r="BJ726" s="68"/>
      <c r="BK726" s="68"/>
      <c r="BL726" s="68"/>
      <c r="BM726" s="68"/>
      <c r="BN726" s="68"/>
      <c r="BO726" s="68"/>
      <c r="BP726" s="68"/>
      <c r="BQ726" s="68"/>
      <c r="BR726" s="68"/>
      <c r="BS726" s="68"/>
      <c r="BT726" s="68"/>
      <c r="BU726" s="68"/>
      <c r="BV726" s="68"/>
      <c r="BW726" s="68"/>
      <c r="BX726" s="68"/>
      <c r="BY726" s="68"/>
      <c r="BZ726" s="68"/>
      <c r="CA726" s="68"/>
      <c r="CB726" s="68"/>
      <c r="CC726" s="68"/>
    </row>
    <row r="727" spans="1:81" ht="15.75" x14ac:dyDescent="0.25">
      <c r="A727" s="68"/>
      <c r="B727" s="68"/>
      <c r="C727" s="68"/>
      <c r="D727" s="69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68"/>
      <c r="AW727" s="68"/>
      <c r="AX727" s="68"/>
      <c r="AY727" s="68"/>
      <c r="AZ727" s="68"/>
      <c r="BA727" s="68"/>
      <c r="BB727" s="68"/>
      <c r="BC727" s="68"/>
      <c r="BD727" s="68"/>
      <c r="BE727" s="68"/>
      <c r="BF727" s="68"/>
      <c r="BG727" s="68"/>
      <c r="BH727" s="68"/>
      <c r="BI727" s="68"/>
      <c r="BJ727" s="68"/>
      <c r="BK727" s="68"/>
      <c r="BL727" s="68"/>
      <c r="BM727" s="68"/>
      <c r="BN727" s="68"/>
      <c r="BO727" s="68"/>
      <c r="BP727" s="68"/>
      <c r="BQ727" s="68"/>
      <c r="BR727" s="68"/>
      <c r="BS727" s="68"/>
      <c r="BT727" s="68"/>
      <c r="BU727" s="68"/>
      <c r="BV727" s="68"/>
      <c r="BW727" s="68"/>
      <c r="BX727" s="68"/>
      <c r="BY727" s="68"/>
      <c r="BZ727" s="68"/>
      <c r="CA727" s="68"/>
      <c r="CB727" s="68"/>
      <c r="CC727" s="68"/>
    </row>
    <row r="728" spans="1:81" ht="15.75" x14ac:dyDescent="0.25">
      <c r="A728" s="68"/>
      <c r="B728" s="68"/>
      <c r="C728" s="68"/>
      <c r="D728" s="69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68"/>
      <c r="AW728" s="68"/>
      <c r="AX728" s="68"/>
      <c r="AY728" s="68"/>
      <c r="AZ728" s="68"/>
      <c r="BA728" s="68"/>
      <c r="BB728" s="68"/>
      <c r="BC728" s="68"/>
      <c r="BD728" s="68"/>
      <c r="BE728" s="68"/>
      <c r="BF728" s="68"/>
      <c r="BG728" s="68"/>
      <c r="BH728" s="68"/>
      <c r="BI728" s="68"/>
      <c r="BJ728" s="68"/>
      <c r="BK728" s="68"/>
      <c r="BL728" s="68"/>
      <c r="BM728" s="68"/>
      <c r="BN728" s="68"/>
      <c r="BO728" s="68"/>
      <c r="BP728" s="68"/>
      <c r="BQ728" s="68"/>
      <c r="BR728" s="68"/>
      <c r="BS728" s="68"/>
      <c r="BT728" s="68"/>
      <c r="BU728" s="68"/>
      <c r="BV728" s="68"/>
      <c r="BW728" s="68"/>
      <c r="BX728" s="68"/>
      <c r="BY728" s="68"/>
      <c r="BZ728" s="68"/>
      <c r="CA728" s="68"/>
      <c r="CB728" s="68"/>
      <c r="CC728" s="68"/>
    </row>
    <row r="729" spans="1:81" ht="15.75" x14ac:dyDescent="0.25">
      <c r="A729" s="68"/>
      <c r="B729" s="68"/>
      <c r="C729" s="68"/>
      <c r="D729" s="69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68"/>
      <c r="AV729" s="68"/>
      <c r="AW729" s="68"/>
      <c r="AX729" s="68"/>
      <c r="AY729" s="68"/>
      <c r="AZ729" s="68"/>
      <c r="BA729" s="68"/>
      <c r="BB729" s="68"/>
      <c r="BC729" s="68"/>
      <c r="BD729" s="68"/>
      <c r="BE729" s="68"/>
      <c r="BF729" s="68"/>
      <c r="BG729" s="68"/>
      <c r="BH729" s="68"/>
      <c r="BI729" s="68"/>
      <c r="BJ729" s="68"/>
      <c r="BK729" s="68"/>
      <c r="BL729" s="68"/>
      <c r="BM729" s="68"/>
      <c r="BN729" s="68"/>
      <c r="BO729" s="68"/>
      <c r="BP729" s="68"/>
      <c r="BQ729" s="68"/>
      <c r="BR729" s="68"/>
      <c r="BS729" s="68"/>
      <c r="BT729" s="68"/>
      <c r="BU729" s="68"/>
      <c r="BV729" s="68"/>
      <c r="BW729" s="68"/>
      <c r="BX729" s="68"/>
      <c r="BY729" s="68"/>
      <c r="BZ729" s="68"/>
      <c r="CA729" s="68"/>
      <c r="CB729" s="68"/>
      <c r="CC729" s="68"/>
    </row>
    <row r="730" spans="1:81" ht="15.75" x14ac:dyDescent="0.25">
      <c r="A730" s="68"/>
      <c r="B730" s="68"/>
      <c r="C730" s="68"/>
      <c r="D730" s="69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68"/>
      <c r="AV730" s="68"/>
      <c r="AW730" s="68"/>
      <c r="AX730" s="68"/>
      <c r="AY730" s="68"/>
      <c r="AZ730" s="68"/>
      <c r="BA730" s="68"/>
      <c r="BB730" s="68"/>
      <c r="BC730" s="68"/>
      <c r="BD730" s="68"/>
      <c r="BE730" s="68"/>
      <c r="BF730" s="68"/>
      <c r="BG730" s="68"/>
      <c r="BH730" s="68"/>
      <c r="BI730" s="68"/>
      <c r="BJ730" s="68"/>
      <c r="BK730" s="68"/>
      <c r="BL730" s="68"/>
      <c r="BM730" s="68"/>
      <c r="BN730" s="68"/>
      <c r="BO730" s="68"/>
      <c r="BP730" s="68"/>
      <c r="BQ730" s="68"/>
      <c r="BR730" s="68"/>
      <c r="BS730" s="68"/>
      <c r="BT730" s="68"/>
      <c r="BU730" s="68"/>
      <c r="BV730" s="68"/>
      <c r="BW730" s="68"/>
      <c r="BX730" s="68"/>
      <c r="BY730" s="68"/>
      <c r="BZ730" s="68"/>
      <c r="CA730" s="68"/>
      <c r="CB730" s="68"/>
      <c r="CC730" s="68"/>
    </row>
    <row r="731" spans="1:81" ht="15.75" x14ac:dyDescent="0.25">
      <c r="A731" s="68"/>
      <c r="B731" s="68"/>
      <c r="C731" s="68"/>
      <c r="D731" s="69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68"/>
      <c r="AV731" s="68"/>
      <c r="AW731" s="68"/>
      <c r="AX731" s="68"/>
      <c r="AY731" s="68"/>
      <c r="AZ731" s="68"/>
      <c r="BA731" s="68"/>
      <c r="BB731" s="68"/>
      <c r="BC731" s="68"/>
      <c r="BD731" s="68"/>
      <c r="BE731" s="68"/>
      <c r="BF731" s="68"/>
      <c r="BG731" s="68"/>
      <c r="BH731" s="68"/>
      <c r="BI731" s="68"/>
      <c r="BJ731" s="68"/>
      <c r="BK731" s="68"/>
      <c r="BL731" s="68"/>
      <c r="BM731" s="68"/>
      <c r="BN731" s="68"/>
      <c r="BO731" s="68"/>
      <c r="BP731" s="68"/>
      <c r="BQ731" s="68"/>
      <c r="BR731" s="68"/>
      <c r="BS731" s="68"/>
      <c r="BT731" s="68"/>
      <c r="BU731" s="68"/>
      <c r="BV731" s="68"/>
      <c r="BW731" s="68"/>
      <c r="BX731" s="68"/>
      <c r="BY731" s="68"/>
      <c r="BZ731" s="68"/>
      <c r="CA731" s="68"/>
      <c r="CB731" s="68"/>
      <c r="CC731" s="68"/>
    </row>
    <row r="732" spans="1:81" ht="15.75" x14ac:dyDescent="0.25">
      <c r="A732" s="68"/>
      <c r="B732" s="68"/>
      <c r="C732" s="68"/>
      <c r="D732" s="69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  <c r="AR732" s="68"/>
      <c r="AS732" s="68"/>
      <c r="AT732" s="68"/>
      <c r="AU732" s="68"/>
      <c r="AV732" s="68"/>
      <c r="AW732" s="68"/>
      <c r="AX732" s="68"/>
      <c r="AY732" s="68"/>
      <c r="AZ732" s="68"/>
      <c r="BA732" s="68"/>
      <c r="BB732" s="68"/>
      <c r="BC732" s="68"/>
      <c r="BD732" s="68"/>
      <c r="BE732" s="68"/>
      <c r="BF732" s="68"/>
      <c r="BG732" s="68"/>
      <c r="BH732" s="68"/>
      <c r="BI732" s="68"/>
      <c r="BJ732" s="68"/>
      <c r="BK732" s="68"/>
      <c r="BL732" s="68"/>
      <c r="BM732" s="68"/>
      <c r="BN732" s="68"/>
      <c r="BO732" s="68"/>
      <c r="BP732" s="68"/>
      <c r="BQ732" s="68"/>
      <c r="BR732" s="68"/>
      <c r="BS732" s="68"/>
      <c r="BT732" s="68"/>
      <c r="BU732" s="68"/>
      <c r="BV732" s="68"/>
      <c r="BW732" s="68"/>
      <c r="BX732" s="68"/>
      <c r="BY732" s="68"/>
      <c r="BZ732" s="68"/>
      <c r="CA732" s="68"/>
      <c r="CB732" s="68"/>
      <c r="CC732" s="68"/>
    </row>
    <row r="733" spans="1:81" ht="15.75" x14ac:dyDescent="0.25">
      <c r="A733" s="68"/>
      <c r="B733" s="68"/>
      <c r="C733" s="68"/>
      <c r="D733" s="69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68"/>
      <c r="AV733" s="68"/>
      <c r="AW733" s="68"/>
      <c r="AX733" s="68"/>
      <c r="AY733" s="68"/>
      <c r="AZ733" s="68"/>
      <c r="BA733" s="68"/>
      <c r="BB733" s="68"/>
      <c r="BC733" s="68"/>
      <c r="BD733" s="68"/>
      <c r="BE733" s="68"/>
      <c r="BF733" s="68"/>
      <c r="BG733" s="68"/>
      <c r="BH733" s="68"/>
      <c r="BI733" s="68"/>
      <c r="BJ733" s="68"/>
      <c r="BK733" s="68"/>
      <c r="BL733" s="68"/>
      <c r="BM733" s="68"/>
      <c r="BN733" s="68"/>
      <c r="BO733" s="68"/>
      <c r="BP733" s="68"/>
      <c r="BQ733" s="68"/>
      <c r="BR733" s="68"/>
      <c r="BS733" s="68"/>
      <c r="BT733" s="68"/>
      <c r="BU733" s="68"/>
      <c r="BV733" s="68"/>
      <c r="BW733" s="68"/>
      <c r="BX733" s="68"/>
      <c r="BY733" s="68"/>
      <c r="BZ733" s="68"/>
      <c r="CA733" s="68"/>
      <c r="CB733" s="68"/>
      <c r="CC733" s="68"/>
    </row>
    <row r="734" spans="1:81" ht="15.75" x14ac:dyDescent="0.25">
      <c r="A734" s="68"/>
      <c r="B734" s="68"/>
      <c r="C734" s="68"/>
      <c r="D734" s="69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68"/>
      <c r="AV734" s="68"/>
      <c r="AW734" s="68"/>
      <c r="AX734" s="68"/>
      <c r="AY734" s="68"/>
      <c r="AZ734" s="68"/>
      <c r="BA734" s="68"/>
      <c r="BB734" s="68"/>
      <c r="BC734" s="68"/>
      <c r="BD734" s="68"/>
      <c r="BE734" s="68"/>
      <c r="BF734" s="68"/>
      <c r="BG734" s="68"/>
      <c r="BH734" s="68"/>
      <c r="BI734" s="68"/>
      <c r="BJ734" s="68"/>
      <c r="BK734" s="68"/>
      <c r="BL734" s="68"/>
      <c r="BM734" s="68"/>
      <c r="BN734" s="68"/>
      <c r="BO734" s="68"/>
      <c r="BP734" s="68"/>
      <c r="BQ734" s="68"/>
      <c r="BR734" s="68"/>
      <c r="BS734" s="68"/>
      <c r="BT734" s="68"/>
      <c r="BU734" s="68"/>
      <c r="BV734" s="68"/>
      <c r="BW734" s="68"/>
      <c r="BX734" s="68"/>
      <c r="BY734" s="68"/>
      <c r="BZ734" s="68"/>
      <c r="CA734" s="68"/>
      <c r="CB734" s="68"/>
      <c r="CC734" s="68"/>
    </row>
    <row r="735" spans="1:81" ht="15.75" x14ac:dyDescent="0.25">
      <c r="A735" s="68"/>
      <c r="B735" s="68"/>
      <c r="C735" s="68"/>
      <c r="D735" s="69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68"/>
      <c r="AV735" s="68"/>
      <c r="AW735" s="68"/>
      <c r="AX735" s="68"/>
      <c r="AY735" s="68"/>
      <c r="AZ735" s="68"/>
      <c r="BA735" s="68"/>
      <c r="BB735" s="68"/>
      <c r="BC735" s="68"/>
      <c r="BD735" s="68"/>
      <c r="BE735" s="68"/>
      <c r="BF735" s="68"/>
      <c r="BG735" s="68"/>
      <c r="BH735" s="68"/>
      <c r="BI735" s="68"/>
      <c r="BJ735" s="68"/>
      <c r="BK735" s="68"/>
      <c r="BL735" s="68"/>
      <c r="BM735" s="68"/>
      <c r="BN735" s="68"/>
      <c r="BO735" s="68"/>
      <c r="BP735" s="68"/>
      <c r="BQ735" s="68"/>
      <c r="BR735" s="68"/>
      <c r="BS735" s="68"/>
      <c r="BT735" s="68"/>
      <c r="BU735" s="68"/>
      <c r="BV735" s="68"/>
      <c r="BW735" s="68"/>
      <c r="BX735" s="68"/>
      <c r="BY735" s="68"/>
      <c r="BZ735" s="68"/>
      <c r="CA735" s="68"/>
      <c r="CB735" s="68"/>
      <c r="CC735" s="68"/>
    </row>
    <row r="736" spans="1:81" ht="15.75" x14ac:dyDescent="0.25">
      <c r="A736" s="68"/>
      <c r="B736" s="68"/>
      <c r="C736" s="68"/>
      <c r="D736" s="69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8"/>
      <c r="AM736" s="68"/>
      <c r="AN736" s="68"/>
      <c r="AO736" s="68"/>
      <c r="AP736" s="68"/>
      <c r="AQ736" s="68"/>
      <c r="AR736" s="68"/>
      <c r="AS736" s="68"/>
      <c r="AT736" s="68"/>
      <c r="AU736" s="68"/>
      <c r="AV736" s="68"/>
      <c r="AW736" s="68"/>
      <c r="AX736" s="68"/>
      <c r="AY736" s="68"/>
      <c r="AZ736" s="68"/>
      <c r="BA736" s="68"/>
      <c r="BB736" s="68"/>
      <c r="BC736" s="68"/>
      <c r="BD736" s="68"/>
      <c r="BE736" s="68"/>
      <c r="BF736" s="68"/>
      <c r="BG736" s="68"/>
      <c r="BH736" s="68"/>
      <c r="BI736" s="68"/>
      <c r="BJ736" s="68"/>
      <c r="BK736" s="68"/>
      <c r="BL736" s="68"/>
      <c r="BM736" s="68"/>
      <c r="BN736" s="68"/>
      <c r="BO736" s="68"/>
      <c r="BP736" s="68"/>
      <c r="BQ736" s="68"/>
      <c r="BR736" s="68"/>
      <c r="BS736" s="68"/>
      <c r="BT736" s="68"/>
      <c r="BU736" s="68"/>
      <c r="BV736" s="68"/>
      <c r="BW736" s="68"/>
      <c r="BX736" s="68"/>
      <c r="BY736" s="68"/>
      <c r="BZ736" s="68"/>
      <c r="CA736" s="68"/>
      <c r="CB736" s="68"/>
      <c r="CC736" s="68"/>
    </row>
    <row r="737" spans="1:81" ht="15.75" x14ac:dyDescent="0.25">
      <c r="A737" s="68"/>
      <c r="B737" s="68"/>
      <c r="C737" s="68"/>
      <c r="D737" s="69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68"/>
      <c r="AV737" s="68"/>
      <c r="AW737" s="68"/>
      <c r="AX737" s="68"/>
      <c r="AY737" s="68"/>
      <c r="AZ737" s="68"/>
      <c r="BA737" s="68"/>
      <c r="BB737" s="68"/>
      <c r="BC737" s="68"/>
      <c r="BD737" s="68"/>
      <c r="BE737" s="68"/>
      <c r="BF737" s="68"/>
      <c r="BG737" s="68"/>
      <c r="BH737" s="68"/>
      <c r="BI737" s="68"/>
      <c r="BJ737" s="68"/>
      <c r="BK737" s="68"/>
      <c r="BL737" s="68"/>
      <c r="BM737" s="68"/>
      <c r="BN737" s="68"/>
      <c r="BO737" s="68"/>
      <c r="BP737" s="68"/>
      <c r="BQ737" s="68"/>
      <c r="BR737" s="68"/>
      <c r="BS737" s="68"/>
      <c r="BT737" s="68"/>
      <c r="BU737" s="68"/>
      <c r="BV737" s="68"/>
      <c r="BW737" s="68"/>
      <c r="BX737" s="68"/>
      <c r="BY737" s="68"/>
      <c r="BZ737" s="68"/>
      <c r="CA737" s="68"/>
      <c r="CB737" s="68"/>
      <c r="CC737" s="68"/>
    </row>
    <row r="738" spans="1:81" ht="15.75" x14ac:dyDescent="0.25">
      <c r="A738" s="68"/>
      <c r="B738" s="68"/>
      <c r="C738" s="68"/>
      <c r="D738" s="69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68"/>
      <c r="AV738" s="68"/>
      <c r="AW738" s="68"/>
      <c r="AX738" s="68"/>
      <c r="AY738" s="68"/>
      <c r="AZ738" s="68"/>
      <c r="BA738" s="68"/>
      <c r="BB738" s="68"/>
      <c r="BC738" s="68"/>
      <c r="BD738" s="68"/>
      <c r="BE738" s="68"/>
      <c r="BF738" s="68"/>
      <c r="BG738" s="68"/>
      <c r="BH738" s="68"/>
      <c r="BI738" s="68"/>
      <c r="BJ738" s="68"/>
      <c r="BK738" s="68"/>
      <c r="BL738" s="68"/>
      <c r="BM738" s="68"/>
      <c r="BN738" s="68"/>
      <c r="BO738" s="68"/>
      <c r="BP738" s="68"/>
      <c r="BQ738" s="68"/>
      <c r="BR738" s="68"/>
      <c r="BS738" s="68"/>
      <c r="BT738" s="68"/>
      <c r="BU738" s="68"/>
      <c r="BV738" s="68"/>
      <c r="BW738" s="68"/>
      <c r="BX738" s="68"/>
      <c r="BY738" s="68"/>
      <c r="BZ738" s="68"/>
      <c r="CA738" s="68"/>
      <c r="CB738" s="68"/>
      <c r="CC738" s="68"/>
    </row>
    <row r="739" spans="1:81" ht="15.75" x14ac:dyDescent="0.25">
      <c r="A739" s="68"/>
      <c r="B739" s="68"/>
      <c r="C739" s="68"/>
      <c r="D739" s="69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68"/>
      <c r="AV739" s="68"/>
      <c r="AW739" s="68"/>
      <c r="AX739" s="68"/>
      <c r="AY739" s="68"/>
      <c r="AZ739" s="68"/>
      <c r="BA739" s="68"/>
      <c r="BB739" s="68"/>
      <c r="BC739" s="68"/>
      <c r="BD739" s="68"/>
      <c r="BE739" s="68"/>
      <c r="BF739" s="68"/>
      <c r="BG739" s="68"/>
      <c r="BH739" s="68"/>
      <c r="BI739" s="68"/>
      <c r="BJ739" s="68"/>
      <c r="BK739" s="68"/>
      <c r="BL739" s="68"/>
      <c r="BM739" s="68"/>
      <c r="BN739" s="68"/>
      <c r="BO739" s="68"/>
      <c r="BP739" s="68"/>
      <c r="BQ739" s="68"/>
      <c r="BR739" s="68"/>
      <c r="BS739" s="68"/>
      <c r="BT739" s="68"/>
      <c r="BU739" s="68"/>
      <c r="BV739" s="68"/>
      <c r="BW739" s="68"/>
      <c r="BX739" s="68"/>
      <c r="BY739" s="68"/>
      <c r="BZ739" s="68"/>
      <c r="CA739" s="68"/>
      <c r="CB739" s="68"/>
      <c r="CC739" s="68"/>
    </row>
    <row r="740" spans="1:81" ht="15.75" x14ac:dyDescent="0.25">
      <c r="A740" s="68"/>
      <c r="B740" s="68"/>
      <c r="C740" s="68"/>
      <c r="D740" s="69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68"/>
      <c r="AV740" s="68"/>
      <c r="AW740" s="68"/>
      <c r="AX740" s="68"/>
      <c r="AY740" s="68"/>
      <c r="AZ740" s="68"/>
      <c r="BA740" s="68"/>
      <c r="BB740" s="68"/>
      <c r="BC740" s="68"/>
      <c r="BD740" s="68"/>
      <c r="BE740" s="68"/>
      <c r="BF740" s="68"/>
      <c r="BG740" s="68"/>
      <c r="BH740" s="68"/>
      <c r="BI740" s="68"/>
      <c r="BJ740" s="68"/>
      <c r="BK740" s="68"/>
      <c r="BL740" s="68"/>
      <c r="BM740" s="68"/>
      <c r="BN740" s="68"/>
      <c r="BO740" s="68"/>
      <c r="BP740" s="68"/>
      <c r="BQ740" s="68"/>
      <c r="BR740" s="68"/>
      <c r="BS740" s="68"/>
      <c r="BT740" s="68"/>
      <c r="BU740" s="68"/>
      <c r="BV740" s="68"/>
      <c r="BW740" s="68"/>
      <c r="BX740" s="68"/>
      <c r="BY740" s="68"/>
      <c r="BZ740" s="68"/>
      <c r="CA740" s="68"/>
      <c r="CB740" s="68"/>
      <c r="CC740" s="68"/>
    </row>
    <row r="741" spans="1:81" ht="15.75" x14ac:dyDescent="0.25">
      <c r="A741" s="68"/>
      <c r="B741" s="68"/>
      <c r="C741" s="68"/>
      <c r="D741" s="69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68"/>
      <c r="AV741" s="68"/>
      <c r="AW741" s="68"/>
      <c r="AX741" s="68"/>
      <c r="AY741" s="68"/>
      <c r="AZ741" s="68"/>
      <c r="BA741" s="68"/>
      <c r="BB741" s="68"/>
      <c r="BC741" s="68"/>
      <c r="BD741" s="68"/>
      <c r="BE741" s="68"/>
      <c r="BF741" s="68"/>
      <c r="BG741" s="68"/>
      <c r="BH741" s="68"/>
      <c r="BI741" s="68"/>
      <c r="BJ741" s="68"/>
      <c r="BK741" s="68"/>
      <c r="BL741" s="68"/>
      <c r="BM741" s="68"/>
      <c r="BN741" s="68"/>
      <c r="BO741" s="68"/>
      <c r="BP741" s="68"/>
      <c r="BQ741" s="68"/>
      <c r="BR741" s="68"/>
      <c r="BS741" s="68"/>
      <c r="BT741" s="68"/>
      <c r="BU741" s="68"/>
      <c r="BV741" s="68"/>
      <c r="BW741" s="68"/>
      <c r="BX741" s="68"/>
      <c r="BY741" s="68"/>
      <c r="BZ741" s="68"/>
      <c r="CA741" s="68"/>
      <c r="CB741" s="68"/>
      <c r="CC741" s="68"/>
    </row>
    <row r="742" spans="1:81" ht="15.75" x14ac:dyDescent="0.25">
      <c r="A742" s="68"/>
      <c r="B742" s="68"/>
      <c r="C742" s="68"/>
      <c r="D742" s="69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  <c r="AW742" s="68"/>
      <c r="AX742" s="68"/>
      <c r="AY742" s="68"/>
      <c r="AZ742" s="68"/>
      <c r="BA742" s="68"/>
      <c r="BB742" s="68"/>
      <c r="BC742" s="68"/>
      <c r="BD742" s="68"/>
      <c r="BE742" s="68"/>
      <c r="BF742" s="68"/>
      <c r="BG742" s="68"/>
      <c r="BH742" s="68"/>
      <c r="BI742" s="68"/>
      <c r="BJ742" s="68"/>
      <c r="BK742" s="68"/>
      <c r="BL742" s="68"/>
      <c r="BM742" s="68"/>
      <c r="BN742" s="68"/>
      <c r="BO742" s="68"/>
      <c r="BP742" s="68"/>
      <c r="BQ742" s="68"/>
      <c r="BR742" s="68"/>
      <c r="BS742" s="68"/>
      <c r="BT742" s="68"/>
      <c r="BU742" s="68"/>
      <c r="BV742" s="68"/>
      <c r="BW742" s="68"/>
      <c r="BX742" s="68"/>
      <c r="BY742" s="68"/>
      <c r="BZ742" s="68"/>
      <c r="CA742" s="68"/>
      <c r="CB742" s="68"/>
      <c r="CC742" s="68"/>
    </row>
    <row r="743" spans="1:81" ht="15.75" x14ac:dyDescent="0.25">
      <c r="A743" s="68"/>
      <c r="B743" s="68"/>
      <c r="C743" s="68"/>
      <c r="D743" s="69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68"/>
      <c r="AW743" s="68"/>
      <c r="AX743" s="68"/>
      <c r="AY743" s="68"/>
      <c r="AZ743" s="68"/>
      <c r="BA743" s="68"/>
      <c r="BB743" s="68"/>
      <c r="BC743" s="68"/>
      <c r="BD743" s="68"/>
      <c r="BE743" s="68"/>
      <c r="BF743" s="68"/>
      <c r="BG743" s="68"/>
      <c r="BH743" s="68"/>
      <c r="BI743" s="68"/>
      <c r="BJ743" s="68"/>
      <c r="BK743" s="68"/>
      <c r="BL743" s="68"/>
      <c r="BM743" s="68"/>
      <c r="BN743" s="68"/>
      <c r="BO743" s="68"/>
      <c r="BP743" s="68"/>
      <c r="BQ743" s="68"/>
      <c r="BR743" s="68"/>
      <c r="BS743" s="68"/>
      <c r="BT743" s="68"/>
      <c r="BU743" s="68"/>
      <c r="BV743" s="68"/>
      <c r="BW743" s="68"/>
      <c r="BX743" s="68"/>
      <c r="BY743" s="68"/>
      <c r="BZ743" s="68"/>
      <c r="CA743" s="68"/>
      <c r="CB743" s="68"/>
      <c r="CC743" s="68"/>
    </row>
    <row r="744" spans="1:81" ht="15.75" x14ac:dyDescent="0.25">
      <c r="A744" s="68"/>
      <c r="B744" s="68"/>
      <c r="C744" s="68"/>
      <c r="D744" s="69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68"/>
      <c r="AV744" s="68"/>
      <c r="AW744" s="68"/>
      <c r="AX744" s="68"/>
      <c r="AY744" s="68"/>
      <c r="AZ744" s="68"/>
      <c r="BA744" s="68"/>
      <c r="BB744" s="68"/>
      <c r="BC744" s="68"/>
      <c r="BD744" s="68"/>
      <c r="BE744" s="68"/>
      <c r="BF744" s="68"/>
      <c r="BG744" s="68"/>
      <c r="BH744" s="68"/>
      <c r="BI744" s="68"/>
      <c r="BJ744" s="68"/>
      <c r="BK744" s="68"/>
      <c r="BL744" s="68"/>
      <c r="BM744" s="68"/>
      <c r="BN744" s="68"/>
      <c r="BO744" s="68"/>
      <c r="BP744" s="68"/>
      <c r="BQ744" s="68"/>
      <c r="BR744" s="68"/>
      <c r="BS744" s="68"/>
      <c r="BT744" s="68"/>
      <c r="BU744" s="68"/>
      <c r="BV744" s="68"/>
      <c r="BW744" s="68"/>
      <c r="BX744" s="68"/>
      <c r="BY744" s="68"/>
      <c r="BZ744" s="68"/>
      <c r="CA744" s="68"/>
      <c r="CB744" s="68"/>
      <c r="CC744" s="68"/>
    </row>
    <row r="745" spans="1:81" ht="15.75" x14ac:dyDescent="0.25">
      <c r="A745" s="68"/>
      <c r="B745" s="68"/>
      <c r="C745" s="68"/>
      <c r="D745" s="69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68"/>
      <c r="AV745" s="68"/>
      <c r="AW745" s="68"/>
      <c r="AX745" s="68"/>
      <c r="AY745" s="68"/>
      <c r="AZ745" s="68"/>
      <c r="BA745" s="68"/>
      <c r="BB745" s="68"/>
      <c r="BC745" s="68"/>
      <c r="BD745" s="68"/>
      <c r="BE745" s="68"/>
      <c r="BF745" s="68"/>
      <c r="BG745" s="68"/>
      <c r="BH745" s="68"/>
      <c r="BI745" s="68"/>
      <c r="BJ745" s="68"/>
      <c r="BK745" s="68"/>
      <c r="BL745" s="68"/>
      <c r="BM745" s="68"/>
      <c r="BN745" s="68"/>
      <c r="BO745" s="68"/>
      <c r="BP745" s="68"/>
      <c r="BQ745" s="68"/>
      <c r="BR745" s="68"/>
      <c r="BS745" s="68"/>
      <c r="BT745" s="68"/>
      <c r="BU745" s="68"/>
      <c r="BV745" s="68"/>
      <c r="BW745" s="68"/>
      <c r="BX745" s="68"/>
      <c r="BY745" s="68"/>
      <c r="BZ745" s="68"/>
      <c r="CA745" s="68"/>
      <c r="CB745" s="68"/>
      <c r="CC745" s="68"/>
    </row>
    <row r="746" spans="1:81" ht="15.75" x14ac:dyDescent="0.25">
      <c r="A746" s="68"/>
      <c r="B746" s="68"/>
      <c r="C746" s="68"/>
      <c r="D746" s="69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68"/>
      <c r="AV746" s="68"/>
      <c r="AW746" s="68"/>
      <c r="AX746" s="68"/>
      <c r="AY746" s="68"/>
      <c r="AZ746" s="68"/>
      <c r="BA746" s="68"/>
      <c r="BB746" s="68"/>
      <c r="BC746" s="68"/>
      <c r="BD746" s="68"/>
      <c r="BE746" s="68"/>
      <c r="BF746" s="68"/>
      <c r="BG746" s="68"/>
      <c r="BH746" s="68"/>
      <c r="BI746" s="68"/>
      <c r="BJ746" s="68"/>
      <c r="BK746" s="68"/>
      <c r="BL746" s="68"/>
      <c r="BM746" s="68"/>
      <c r="BN746" s="68"/>
      <c r="BO746" s="68"/>
      <c r="BP746" s="68"/>
      <c r="BQ746" s="68"/>
      <c r="BR746" s="68"/>
      <c r="BS746" s="68"/>
      <c r="BT746" s="68"/>
      <c r="BU746" s="68"/>
      <c r="BV746" s="68"/>
      <c r="BW746" s="68"/>
      <c r="BX746" s="68"/>
      <c r="BY746" s="68"/>
      <c r="BZ746" s="68"/>
      <c r="CA746" s="68"/>
      <c r="CB746" s="68"/>
      <c r="CC746" s="68"/>
    </row>
    <row r="747" spans="1:81" ht="15.75" x14ac:dyDescent="0.25">
      <c r="A747" s="68"/>
      <c r="B747" s="68"/>
      <c r="C747" s="68"/>
      <c r="D747" s="69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68"/>
      <c r="AW747" s="68"/>
      <c r="AX747" s="68"/>
      <c r="AY747" s="68"/>
      <c r="AZ747" s="68"/>
      <c r="BA747" s="68"/>
      <c r="BB747" s="68"/>
      <c r="BC747" s="68"/>
      <c r="BD747" s="68"/>
      <c r="BE747" s="68"/>
      <c r="BF747" s="68"/>
      <c r="BG747" s="68"/>
      <c r="BH747" s="68"/>
      <c r="BI747" s="68"/>
      <c r="BJ747" s="68"/>
      <c r="BK747" s="68"/>
      <c r="BL747" s="68"/>
      <c r="BM747" s="68"/>
      <c r="BN747" s="68"/>
      <c r="BO747" s="68"/>
      <c r="BP747" s="68"/>
      <c r="BQ747" s="68"/>
      <c r="BR747" s="68"/>
      <c r="BS747" s="68"/>
      <c r="BT747" s="68"/>
      <c r="BU747" s="68"/>
      <c r="BV747" s="68"/>
      <c r="BW747" s="68"/>
      <c r="BX747" s="68"/>
      <c r="BY747" s="68"/>
      <c r="BZ747" s="68"/>
      <c r="CA747" s="68"/>
      <c r="CB747" s="68"/>
      <c r="CC747" s="68"/>
    </row>
    <row r="748" spans="1:81" ht="15.75" x14ac:dyDescent="0.25">
      <c r="A748" s="68"/>
      <c r="B748" s="68"/>
      <c r="C748" s="68"/>
      <c r="D748" s="69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68"/>
      <c r="AW748" s="68"/>
      <c r="AX748" s="68"/>
      <c r="AY748" s="68"/>
      <c r="AZ748" s="68"/>
      <c r="BA748" s="68"/>
      <c r="BB748" s="68"/>
      <c r="BC748" s="68"/>
      <c r="BD748" s="68"/>
      <c r="BE748" s="68"/>
      <c r="BF748" s="68"/>
      <c r="BG748" s="68"/>
      <c r="BH748" s="68"/>
      <c r="BI748" s="68"/>
      <c r="BJ748" s="68"/>
      <c r="BK748" s="68"/>
      <c r="BL748" s="68"/>
      <c r="BM748" s="68"/>
      <c r="BN748" s="68"/>
      <c r="BO748" s="68"/>
      <c r="BP748" s="68"/>
      <c r="BQ748" s="68"/>
      <c r="BR748" s="68"/>
      <c r="BS748" s="68"/>
      <c r="BT748" s="68"/>
      <c r="BU748" s="68"/>
      <c r="BV748" s="68"/>
      <c r="BW748" s="68"/>
      <c r="BX748" s="68"/>
      <c r="BY748" s="68"/>
      <c r="BZ748" s="68"/>
      <c r="CA748" s="68"/>
      <c r="CB748" s="68"/>
      <c r="CC748" s="68"/>
    </row>
    <row r="749" spans="1:81" ht="15.75" x14ac:dyDescent="0.25">
      <c r="A749" s="68"/>
      <c r="B749" s="68"/>
      <c r="C749" s="68"/>
      <c r="D749" s="69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  <c r="AI749" s="68"/>
      <c r="AJ749" s="68"/>
      <c r="AK749" s="68"/>
      <c r="AL749" s="68"/>
      <c r="AM749" s="68"/>
      <c r="AN749" s="68"/>
      <c r="AO749" s="68"/>
      <c r="AP749" s="68"/>
      <c r="AQ749" s="68"/>
      <c r="AR749" s="68"/>
      <c r="AS749" s="68"/>
      <c r="AT749" s="68"/>
      <c r="AU749" s="68"/>
      <c r="AV749" s="68"/>
      <c r="AW749" s="68"/>
      <c r="AX749" s="68"/>
      <c r="AY749" s="68"/>
      <c r="AZ749" s="68"/>
      <c r="BA749" s="68"/>
      <c r="BB749" s="68"/>
      <c r="BC749" s="68"/>
      <c r="BD749" s="68"/>
      <c r="BE749" s="68"/>
      <c r="BF749" s="68"/>
      <c r="BG749" s="68"/>
      <c r="BH749" s="68"/>
      <c r="BI749" s="68"/>
      <c r="BJ749" s="68"/>
      <c r="BK749" s="68"/>
      <c r="BL749" s="68"/>
      <c r="BM749" s="68"/>
      <c r="BN749" s="68"/>
      <c r="BO749" s="68"/>
      <c r="BP749" s="68"/>
      <c r="BQ749" s="68"/>
      <c r="BR749" s="68"/>
      <c r="BS749" s="68"/>
      <c r="BT749" s="68"/>
      <c r="BU749" s="68"/>
      <c r="BV749" s="68"/>
      <c r="BW749" s="68"/>
      <c r="BX749" s="68"/>
      <c r="BY749" s="68"/>
      <c r="BZ749" s="68"/>
      <c r="CA749" s="68"/>
      <c r="CB749" s="68"/>
      <c r="CC749" s="68"/>
    </row>
    <row r="750" spans="1:81" ht="15.75" x14ac:dyDescent="0.25">
      <c r="A750" s="68"/>
      <c r="B750" s="68"/>
      <c r="C750" s="68"/>
      <c r="D750" s="69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  <c r="AJ750" s="68"/>
      <c r="AK750" s="68"/>
      <c r="AL750" s="68"/>
      <c r="AM750" s="68"/>
      <c r="AN750" s="68"/>
      <c r="AO750" s="68"/>
      <c r="AP750" s="68"/>
      <c r="AQ750" s="68"/>
      <c r="AR750" s="68"/>
      <c r="AS750" s="68"/>
      <c r="AT750" s="68"/>
      <c r="AU750" s="68"/>
      <c r="AV750" s="68"/>
      <c r="AW750" s="68"/>
      <c r="AX750" s="68"/>
      <c r="AY750" s="68"/>
      <c r="AZ750" s="68"/>
      <c r="BA750" s="68"/>
      <c r="BB750" s="68"/>
      <c r="BC750" s="68"/>
      <c r="BD750" s="68"/>
      <c r="BE750" s="68"/>
      <c r="BF750" s="68"/>
      <c r="BG750" s="68"/>
      <c r="BH750" s="68"/>
      <c r="BI750" s="68"/>
      <c r="BJ750" s="68"/>
      <c r="BK750" s="68"/>
      <c r="BL750" s="68"/>
      <c r="BM750" s="68"/>
      <c r="BN750" s="68"/>
      <c r="BO750" s="68"/>
      <c r="BP750" s="68"/>
      <c r="BQ750" s="68"/>
      <c r="BR750" s="68"/>
      <c r="BS750" s="68"/>
      <c r="BT750" s="68"/>
      <c r="BU750" s="68"/>
      <c r="BV750" s="68"/>
      <c r="BW750" s="68"/>
      <c r="BX750" s="68"/>
      <c r="BY750" s="68"/>
      <c r="BZ750" s="68"/>
      <c r="CA750" s="68"/>
      <c r="CB750" s="68"/>
      <c r="CC750" s="68"/>
    </row>
    <row r="751" spans="1:81" ht="15.75" x14ac:dyDescent="0.25">
      <c r="A751" s="68"/>
      <c r="B751" s="68"/>
      <c r="C751" s="68"/>
      <c r="D751" s="69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  <c r="AI751" s="68"/>
      <c r="AJ751" s="68"/>
      <c r="AK751" s="68"/>
      <c r="AL751" s="68"/>
      <c r="AM751" s="68"/>
      <c r="AN751" s="68"/>
      <c r="AO751" s="68"/>
      <c r="AP751" s="68"/>
      <c r="AQ751" s="68"/>
      <c r="AR751" s="68"/>
      <c r="AS751" s="68"/>
      <c r="AT751" s="68"/>
      <c r="AU751" s="68"/>
      <c r="AV751" s="68"/>
      <c r="AW751" s="68"/>
      <c r="AX751" s="68"/>
      <c r="AY751" s="68"/>
      <c r="AZ751" s="68"/>
      <c r="BA751" s="68"/>
      <c r="BB751" s="68"/>
      <c r="BC751" s="68"/>
      <c r="BD751" s="68"/>
      <c r="BE751" s="68"/>
      <c r="BF751" s="68"/>
      <c r="BG751" s="68"/>
      <c r="BH751" s="68"/>
      <c r="BI751" s="68"/>
      <c r="BJ751" s="68"/>
      <c r="BK751" s="68"/>
      <c r="BL751" s="68"/>
      <c r="BM751" s="68"/>
      <c r="BN751" s="68"/>
      <c r="BO751" s="68"/>
      <c r="BP751" s="68"/>
      <c r="BQ751" s="68"/>
      <c r="BR751" s="68"/>
      <c r="BS751" s="68"/>
      <c r="BT751" s="68"/>
      <c r="BU751" s="68"/>
      <c r="BV751" s="68"/>
      <c r="BW751" s="68"/>
      <c r="BX751" s="68"/>
      <c r="BY751" s="68"/>
      <c r="BZ751" s="68"/>
      <c r="CA751" s="68"/>
      <c r="CB751" s="68"/>
      <c r="CC751" s="68"/>
    </row>
    <row r="752" spans="1:81" ht="15.75" x14ac:dyDescent="0.25">
      <c r="A752" s="68"/>
      <c r="B752" s="68"/>
      <c r="C752" s="68"/>
      <c r="D752" s="69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  <c r="AI752" s="68"/>
      <c r="AJ752" s="68"/>
      <c r="AK752" s="68"/>
      <c r="AL752" s="68"/>
      <c r="AM752" s="68"/>
      <c r="AN752" s="68"/>
      <c r="AO752" s="68"/>
      <c r="AP752" s="68"/>
      <c r="AQ752" s="68"/>
      <c r="AR752" s="68"/>
      <c r="AS752" s="68"/>
      <c r="AT752" s="68"/>
      <c r="AU752" s="68"/>
      <c r="AV752" s="68"/>
      <c r="AW752" s="68"/>
      <c r="AX752" s="68"/>
      <c r="AY752" s="68"/>
      <c r="AZ752" s="68"/>
      <c r="BA752" s="68"/>
      <c r="BB752" s="68"/>
      <c r="BC752" s="68"/>
      <c r="BD752" s="68"/>
      <c r="BE752" s="68"/>
      <c r="BF752" s="68"/>
      <c r="BG752" s="68"/>
      <c r="BH752" s="68"/>
      <c r="BI752" s="68"/>
      <c r="BJ752" s="68"/>
      <c r="BK752" s="68"/>
      <c r="BL752" s="68"/>
      <c r="BM752" s="68"/>
      <c r="BN752" s="68"/>
      <c r="BO752" s="68"/>
      <c r="BP752" s="68"/>
      <c r="BQ752" s="68"/>
      <c r="BR752" s="68"/>
      <c r="BS752" s="68"/>
      <c r="BT752" s="68"/>
      <c r="BU752" s="68"/>
      <c r="BV752" s="68"/>
      <c r="BW752" s="68"/>
      <c r="BX752" s="68"/>
      <c r="BY752" s="68"/>
      <c r="BZ752" s="68"/>
      <c r="CA752" s="68"/>
      <c r="CB752" s="68"/>
      <c r="CC752" s="68"/>
    </row>
    <row r="753" spans="1:81" ht="15.75" x14ac:dyDescent="0.25">
      <c r="A753" s="68"/>
      <c r="B753" s="68"/>
      <c r="C753" s="68"/>
      <c r="D753" s="69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  <c r="AI753" s="68"/>
      <c r="AJ753" s="68"/>
      <c r="AK753" s="68"/>
      <c r="AL753" s="68"/>
      <c r="AM753" s="68"/>
      <c r="AN753" s="68"/>
      <c r="AO753" s="68"/>
      <c r="AP753" s="68"/>
      <c r="AQ753" s="68"/>
      <c r="AR753" s="68"/>
      <c r="AS753" s="68"/>
      <c r="AT753" s="68"/>
      <c r="AU753" s="68"/>
      <c r="AV753" s="68"/>
      <c r="AW753" s="68"/>
      <c r="AX753" s="68"/>
      <c r="AY753" s="68"/>
      <c r="AZ753" s="68"/>
      <c r="BA753" s="68"/>
      <c r="BB753" s="68"/>
      <c r="BC753" s="68"/>
      <c r="BD753" s="68"/>
      <c r="BE753" s="68"/>
      <c r="BF753" s="68"/>
      <c r="BG753" s="68"/>
      <c r="BH753" s="68"/>
      <c r="BI753" s="68"/>
      <c r="BJ753" s="68"/>
      <c r="BK753" s="68"/>
      <c r="BL753" s="68"/>
      <c r="BM753" s="68"/>
      <c r="BN753" s="68"/>
      <c r="BO753" s="68"/>
      <c r="BP753" s="68"/>
      <c r="BQ753" s="68"/>
      <c r="BR753" s="68"/>
      <c r="BS753" s="68"/>
      <c r="BT753" s="68"/>
      <c r="BU753" s="68"/>
      <c r="BV753" s="68"/>
      <c r="BW753" s="68"/>
      <c r="BX753" s="68"/>
      <c r="BY753" s="68"/>
      <c r="BZ753" s="68"/>
      <c r="CA753" s="68"/>
      <c r="CB753" s="68"/>
      <c r="CC753" s="68"/>
    </row>
    <row r="754" spans="1:81" ht="15.75" x14ac:dyDescent="0.25">
      <c r="A754" s="68"/>
      <c r="B754" s="68"/>
      <c r="C754" s="68"/>
      <c r="D754" s="69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  <c r="AI754" s="68"/>
      <c r="AJ754" s="68"/>
      <c r="AK754" s="68"/>
      <c r="AL754" s="68"/>
      <c r="AM754" s="68"/>
      <c r="AN754" s="68"/>
      <c r="AO754" s="68"/>
      <c r="AP754" s="68"/>
      <c r="AQ754" s="68"/>
      <c r="AR754" s="68"/>
      <c r="AS754" s="68"/>
      <c r="AT754" s="68"/>
      <c r="AU754" s="68"/>
      <c r="AV754" s="68"/>
      <c r="AW754" s="68"/>
      <c r="AX754" s="68"/>
      <c r="AY754" s="68"/>
      <c r="AZ754" s="68"/>
      <c r="BA754" s="68"/>
      <c r="BB754" s="68"/>
      <c r="BC754" s="68"/>
      <c r="BD754" s="68"/>
      <c r="BE754" s="68"/>
      <c r="BF754" s="68"/>
      <c r="BG754" s="68"/>
      <c r="BH754" s="68"/>
      <c r="BI754" s="68"/>
      <c r="BJ754" s="68"/>
      <c r="BK754" s="68"/>
      <c r="BL754" s="68"/>
      <c r="BM754" s="68"/>
      <c r="BN754" s="68"/>
      <c r="BO754" s="68"/>
      <c r="BP754" s="68"/>
      <c r="BQ754" s="68"/>
      <c r="BR754" s="68"/>
      <c r="BS754" s="68"/>
      <c r="BT754" s="68"/>
      <c r="BU754" s="68"/>
      <c r="BV754" s="68"/>
      <c r="BW754" s="68"/>
      <c r="BX754" s="68"/>
      <c r="BY754" s="68"/>
      <c r="BZ754" s="68"/>
      <c r="CA754" s="68"/>
      <c r="CB754" s="68"/>
      <c r="CC754" s="68"/>
    </row>
    <row r="755" spans="1:81" ht="15.75" x14ac:dyDescent="0.25">
      <c r="A755" s="68"/>
      <c r="B755" s="68"/>
      <c r="C755" s="68"/>
      <c r="D755" s="69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  <c r="AI755" s="68"/>
      <c r="AJ755" s="68"/>
      <c r="AK755" s="68"/>
      <c r="AL755" s="68"/>
      <c r="AM755" s="68"/>
      <c r="AN755" s="68"/>
      <c r="AO755" s="68"/>
      <c r="AP755" s="68"/>
      <c r="AQ755" s="68"/>
      <c r="AR755" s="68"/>
      <c r="AS755" s="68"/>
      <c r="AT755" s="68"/>
      <c r="AU755" s="68"/>
      <c r="AV755" s="68"/>
      <c r="AW755" s="68"/>
      <c r="AX755" s="68"/>
      <c r="AY755" s="68"/>
      <c r="AZ755" s="68"/>
      <c r="BA755" s="68"/>
      <c r="BB755" s="68"/>
      <c r="BC755" s="68"/>
      <c r="BD755" s="68"/>
      <c r="BE755" s="68"/>
      <c r="BF755" s="68"/>
      <c r="BG755" s="68"/>
      <c r="BH755" s="68"/>
      <c r="BI755" s="68"/>
      <c r="BJ755" s="68"/>
      <c r="BK755" s="68"/>
      <c r="BL755" s="68"/>
      <c r="BM755" s="68"/>
      <c r="BN755" s="68"/>
      <c r="BO755" s="68"/>
      <c r="BP755" s="68"/>
      <c r="BQ755" s="68"/>
      <c r="BR755" s="68"/>
      <c r="BS755" s="68"/>
      <c r="BT755" s="68"/>
      <c r="BU755" s="68"/>
      <c r="BV755" s="68"/>
      <c r="BW755" s="68"/>
      <c r="BX755" s="68"/>
      <c r="BY755" s="68"/>
      <c r="BZ755" s="68"/>
      <c r="CA755" s="68"/>
      <c r="CB755" s="68"/>
      <c r="CC755" s="68"/>
    </row>
    <row r="756" spans="1:81" ht="15.75" x14ac:dyDescent="0.25">
      <c r="A756" s="68"/>
      <c r="B756" s="68"/>
      <c r="C756" s="68"/>
      <c r="D756" s="69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  <c r="AI756" s="68"/>
      <c r="AJ756" s="68"/>
      <c r="AK756" s="68"/>
      <c r="AL756" s="68"/>
      <c r="AM756" s="68"/>
      <c r="AN756" s="68"/>
      <c r="AO756" s="68"/>
      <c r="AP756" s="68"/>
      <c r="AQ756" s="68"/>
      <c r="AR756" s="68"/>
      <c r="AS756" s="68"/>
      <c r="AT756" s="68"/>
      <c r="AU756" s="68"/>
      <c r="AV756" s="68"/>
      <c r="AW756" s="68"/>
      <c r="AX756" s="68"/>
      <c r="AY756" s="68"/>
      <c r="AZ756" s="68"/>
      <c r="BA756" s="68"/>
      <c r="BB756" s="68"/>
      <c r="BC756" s="68"/>
      <c r="BD756" s="68"/>
      <c r="BE756" s="68"/>
      <c r="BF756" s="68"/>
      <c r="BG756" s="68"/>
      <c r="BH756" s="68"/>
      <c r="BI756" s="68"/>
      <c r="BJ756" s="68"/>
      <c r="BK756" s="68"/>
      <c r="BL756" s="68"/>
      <c r="BM756" s="68"/>
      <c r="BN756" s="68"/>
      <c r="BO756" s="68"/>
      <c r="BP756" s="68"/>
      <c r="BQ756" s="68"/>
      <c r="BR756" s="68"/>
      <c r="BS756" s="68"/>
      <c r="BT756" s="68"/>
      <c r="BU756" s="68"/>
      <c r="BV756" s="68"/>
      <c r="BW756" s="68"/>
      <c r="BX756" s="68"/>
      <c r="BY756" s="68"/>
      <c r="BZ756" s="68"/>
      <c r="CA756" s="68"/>
      <c r="CB756" s="68"/>
      <c r="CC756" s="68"/>
    </row>
    <row r="757" spans="1:81" ht="15.75" x14ac:dyDescent="0.25">
      <c r="A757" s="68"/>
      <c r="B757" s="68"/>
      <c r="C757" s="68"/>
      <c r="D757" s="69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  <c r="AI757" s="68"/>
      <c r="AJ757" s="68"/>
      <c r="AK757" s="68"/>
      <c r="AL757" s="68"/>
      <c r="AM757" s="68"/>
      <c r="AN757" s="68"/>
      <c r="AO757" s="68"/>
      <c r="AP757" s="68"/>
      <c r="AQ757" s="68"/>
      <c r="AR757" s="68"/>
      <c r="AS757" s="68"/>
      <c r="AT757" s="68"/>
      <c r="AU757" s="68"/>
      <c r="AV757" s="68"/>
      <c r="AW757" s="68"/>
      <c r="AX757" s="68"/>
      <c r="AY757" s="68"/>
      <c r="AZ757" s="68"/>
      <c r="BA757" s="68"/>
      <c r="BB757" s="68"/>
      <c r="BC757" s="68"/>
      <c r="BD757" s="68"/>
      <c r="BE757" s="68"/>
      <c r="BF757" s="68"/>
      <c r="BG757" s="68"/>
      <c r="BH757" s="68"/>
      <c r="BI757" s="68"/>
      <c r="BJ757" s="68"/>
      <c r="BK757" s="68"/>
      <c r="BL757" s="68"/>
      <c r="BM757" s="68"/>
      <c r="BN757" s="68"/>
      <c r="BO757" s="68"/>
      <c r="BP757" s="68"/>
      <c r="BQ757" s="68"/>
      <c r="BR757" s="68"/>
      <c r="BS757" s="68"/>
      <c r="BT757" s="68"/>
      <c r="BU757" s="68"/>
      <c r="BV757" s="68"/>
      <c r="BW757" s="68"/>
      <c r="BX757" s="68"/>
      <c r="BY757" s="68"/>
      <c r="BZ757" s="68"/>
      <c r="CA757" s="68"/>
      <c r="CB757" s="68"/>
      <c r="CC757" s="68"/>
    </row>
    <row r="758" spans="1:81" ht="15.75" x14ac:dyDescent="0.25">
      <c r="A758" s="68"/>
      <c r="B758" s="68"/>
      <c r="C758" s="68"/>
      <c r="D758" s="69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  <c r="AI758" s="68"/>
      <c r="AJ758" s="68"/>
      <c r="AK758" s="68"/>
      <c r="AL758" s="68"/>
      <c r="AM758" s="68"/>
      <c r="AN758" s="68"/>
      <c r="AO758" s="68"/>
      <c r="AP758" s="68"/>
      <c r="AQ758" s="68"/>
      <c r="AR758" s="68"/>
      <c r="AS758" s="68"/>
      <c r="AT758" s="68"/>
      <c r="AU758" s="68"/>
      <c r="AV758" s="68"/>
      <c r="AW758" s="68"/>
      <c r="AX758" s="68"/>
      <c r="AY758" s="68"/>
      <c r="AZ758" s="68"/>
      <c r="BA758" s="68"/>
      <c r="BB758" s="68"/>
      <c r="BC758" s="68"/>
      <c r="BD758" s="68"/>
      <c r="BE758" s="68"/>
      <c r="BF758" s="68"/>
      <c r="BG758" s="68"/>
      <c r="BH758" s="68"/>
      <c r="BI758" s="68"/>
      <c r="BJ758" s="68"/>
      <c r="BK758" s="68"/>
      <c r="BL758" s="68"/>
      <c r="BM758" s="68"/>
      <c r="BN758" s="68"/>
      <c r="BO758" s="68"/>
      <c r="BP758" s="68"/>
      <c r="BQ758" s="68"/>
      <c r="BR758" s="68"/>
      <c r="BS758" s="68"/>
      <c r="BT758" s="68"/>
      <c r="BU758" s="68"/>
      <c r="BV758" s="68"/>
      <c r="BW758" s="68"/>
      <c r="BX758" s="68"/>
      <c r="BY758" s="68"/>
      <c r="BZ758" s="68"/>
      <c r="CA758" s="68"/>
      <c r="CB758" s="68"/>
      <c r="CC758" s="68"/>
    </row>
    <row r="759" spans="1:81" ht="15.75" x14ac:dyDescent="0.25">
      <c r="A759" s="68"/>
      <c r="B759" s="68"/>
      <c r="C759" s="68"/>
      <c r="D759" s="69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  <c r="AI759" s="68"/>
      <c r="AJ759" s="68"/>
      <c r="AK759" s="68"/>
      <c r="AL759" s="68"/>
      <c r="AM759" s="68"/>
      <c r="AN759" s="68"/>
      <c r="AO759" s="68"/>
      <c r="AP759" s="68"/>
      <c r="AQ759" s="68"/>
      <c r="AR759" s="68"/>
      <c r="AS759" s="68"/>
      <c r="AT759" s="68"/>
      <c r="AU759" s="68"/>
      <c r="AV759" s="68"/>
      <c r="AW759" s="68"/>
      <c r="AX759" s="68"/>
      <c r="AY759" s="68"/>
      <c r="AZ759" s="68"/>
      <c r="BA759" s="68"/>
      <c r="BB759" s="68"/>
      <c r="BC759" s="68"/>
      <c r="BD759" s="68"/>
      <c r="BE759" s="68"/>
      <c r="BF759" s="68"/>
      <c r="BG759" s="68"/>
      <c r="BH759" s="68"/>
      <c r="BI759" s="68"/>
      <c r="BJ759" s="68"/>
      <c r="BK759" s="68"/>
      <c r="BL759" s="68"/>
      <c r="BM759" s="68"/>
      <c r="BN759" s="68"/>
      <c r="BO759" s="68"/>
      <c r="BP759" s="68"/>
      <c r="BQ759" s="68"/>
      <c r="BR759" s="68"/>
      <c r="BS759" s="68"/>
      <c r="BT759" s="68"/>
      <c r="BU759" s="68"/>
      <c r="BV759" s="68"/>
      <c r="BW759" s="68"/>
      <c r="BX759" s="68"/>
      <c r="BY759" s="68"/>
      <c r="BZ759" s="68"/>
      <c r="CA759" s="68"/>
      <c r="CB759" s="68"/>
      <c r="CC759" s="68"/>
    </row>
    <row r="760" spans="1:81" ht="15.75" x14ac:dyDescent="0.25">
      <c r="A760" s="68"/>
      <c r="B760" s="68"/>
      <c r="C760" s="68"/>
      <c r="D760" s="69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  <c r="AI760" s="68"/>
      <c r="AJ760" s="68"/>
      <c r="AK760" s="68"/>
      <c r="AL760" s="68"/>
      <c r="AM760" s="68"/>
      <c r="AN760" s="68"/>
      <c r="AO760" s="68"/>
      <c r="AP760" s="68"/>
      <c r="AQ760" s="68"/>
      <c r="AR760" s="68"/>
      <c r="AS760" s="68"/>
      <c r="AT760" s="68"/>
      <c r="AU760" s="68"/>
      <c r="AV760" s="68"/>
      <c r="AW760" s="68"/>
      <c r="AX760" s="68"/>
      <c r="AY760" s="68"/>
      <c r="AZ760" s="68"/>
      <c r="BA760" s="68"/>
      <c r="BB760" s="68"/>
      <c r="BC760" s="68"/>
      <c r="BD760" s="68"/>
      <c r="BE760" s="68"/>
      <c r="BF760" s="68"/>
      <c r="BG760" s="68"/>
      <c r="BH760" s="68"/>
      <c r="BI760" s="68"/>
      <c r="BJ760" s="68"/>
      <c r="BK760" s="68"/>
      <c r="BL760" s="68"/>
      <c r="BM760" s="68"/>
      <c r="BN760" s="68"/>
      <c r="BO760" s="68"/>
      <c r="BP760" s="68"/>
      <c r="BQ760" s="68"/>
      <c r="BR760" s="68"/>
      <c r="BS760" s="68"/>
      <c r="BT760" s="68"/>
      <c r="BU760" s="68"/>
      <c r="BV760" s="68"/>
      <c r="BW760" s="68"/>
      <c r="BX760" s="68"/>
      <c r="BY760" s="68"/>
      <c r="BZ760" s="68"/>
      <c r="CA760" s="68"/>
      <c r="CB760" s="68"/>
      <c r="CC760" s="68"/>
    </row>
    <row r="761" spans="1:81" ht="15.75" x14ac:dyDescent="0.25">
      <c r="A761" s="68"/>
      <c r="B761" s="68"/>
      <c r="C761" s="68"/>
      <c r="D761" s="69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  <c r="AI761" s="68"/>
      <c r="AJ761" s="68"/>
      <c r="AK761" s="68"/>
      <c r="AL761" s="68"/>
      <c r="AM761" s="68"/>
      <c r="AN761" s="68"/>
      <c r="AO761" s="68"/>
      <c r="AP761" s="68"/>
      <c r="AQ761" s="68"/>
      <c r="AR761" s="68"/>
      <c r="AS761" s="68"/>
      <c r="AT761" s="68"/>
      <c r="AU761" s="68"/>
      <c r="AV761" s="68"/>
      <c r="AW761" s="68"/>
      <c r="AX761" s="68"/>
      <c r="AY761" s="68"/>
      <c r="AZ761" s="68"/>
      <c r="BA761" s="68"/>
      <c r="BB761" s="68"/>
      <c r="BC761" s="68"/>
      <c r="BD761" s="68"/>
      <c r="BE761" s="68"/>
      <c r="BF761" s="68"/>
      <c r="BG761" s="68"/>
      <c r="BH761" s="68"/>
      <c r="BI761" s="68"/>
      <c r="BJ761" s="68"/>
      <c r="BK761" s="68"/>
      <c r="BL761" s="68"/>
      <c r="BM761" s="68"/>
      <c r="BN761" s="68"/>
      <c r="BO761" s="68"/>
      <c r="BP761" s="68"/>
      <c r="BQ761" s="68"/>
      <c r="BR761" s="68"/>
      <c r="BS761" s="68"/>
      <c r="BT761" s="68"/>
      <c r="BU761" s="68"/>
      <c r="BV761" s="68"/>
      <c r="BW761" s="68"/>
      <c r="BX761" s="68"/>
      <c r="BY761" s="68"/>
      <c r="BZ761" s="68"/>
      <c r="CA761" s="68"/>
      <c r="CB761" s="68"/>
      <c r="CC761" s="68"/>
    </row>
    <row r="762" spans="1:81" ht="15.75" x14ac:dyDescent="0.25">
      <c r="A762" s="68"/>
      <c r="B762" s="68"/>
      <c r="C762" s="68"/>
      <c r="D762" s="69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  <c r="AI762" s="68"/>
      <c r="AJ762" s="68"/>
      <c r="AK762" s="68"/>
      <c r="AL762" s="68"/>
      <c r="AM762" s="68"/>
      <c r="AN762" s="68"/>
      <c r="AO762" s="68"/>
      <c r="AP762" s="68"/>
      <c r="AQ762" s="68"/>
      <c r="AR762" s="68"/>
      <c r="AS762" s="68"/>
      <c r="AT762" s="68"/>
      <c r="AU762" s="68"/>
      <c r="AV762" s="68"/>
      <c r="AW762" s="68"/>
      <c r="AX762" s="68"/>
      <c r="AY762" s="68"/>
      <c r="AZ762" s="68"/>
      <c r="BA762" s="68"/>
      <c r="BB762" s="68"/>
      <c r="BC762" s="68"/>
      <c r="BD762" s="68"/>
      <c r="BE762" s="68"/>
      <c r="BF762" s="68"/>
      <c r="BG762" s="68"/>
      <c r="BH762" s="68"/>
      <c r="BI762" s="68"/>
      <c r="BJ762" s="68"/>
      <c r="BK762" s="68"/>
      <c r="BL762" s="68"/>
      <c r="BM762" s="68"/>
      <c r="BN762" s="68"/>
      <c r="BO762" s="68"/>
      <c r="BP762" s="68"/>
      <c r="BQ762" s="68"/>
      <c r="BR762" s="68"/>
      <c r="BS762" s="68"/>
      <c r="BT762" s="68"/>
      <c r="BU762" s="68"/>
      <c r="BV762" s="68"/>
      <c r="BW762" s="68"/>
      <c r="BX762" s="68"/>
      <c r="BY762" s="68"/>
      <c r="BZ762" s="68"/>
      <c r="CA762" s="68"/>
      <c r="CB762" s="68"/>
      <c r="CC762" s="68"/>
    </row>
    <row r="763" spans="1:81" ht="15.75" x14ac:dyDescent="0.25">
      <c r="A763" s="68"/>
      <c r="B763" s="68"/>
      <c r="C763" s="68"/>
      <c r="D763" s="69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  <c r="AI763" s="68"/>
      <c r="AJ763" s="68"/>
      <c r="AK763" s="68"/>
      <c r="AL763" s="68"/>
      <c r="AM763" s="68"/>
      <c r="AN763" s="68"/>
      <c r="AO763" s="68"/>
      <c r="AP763" s="68"/>
      <c r="AQ763" s="68"/>
      <c r="AR763" s="68"/>
      <c r="AS763" s="68"/>
      <c r="AT763" s="68"/>
      <c r="AU763" s="68"/>
      <c r="AV763" s="68"/>
      <c r="AW763" s="68"/>
      <c r="AX763" s="68"/>
      <c r="AY763" s="68"/>
      <c r="AZ763" s="68"/>
      <c r="BA763" s="68"/>
      <c r="BB763" s="68"/>
      <c r="BC763" s="68"/>
      <c r="BD763" s="68"/>
      <c r="BE763" s="68"/>
      <c r="BF763" s="68"/>
      <c r="BG763" s="68"/>
      <c r="BH763" s="68"/>
      <c r="BI763" s="68"/>
      <c r="BJ763" s="68"/>
      <c r="BK763" s="68"/>
      <c r="BL763" s="68"/>
      <c r="BM763" s="68"/>
      <c r="BN763" s="68"/>
      <c r="BO763" s="68"/>
      <c r="BP763" s="68"/>
      <c r="BQ763" s="68"/>
      <c r="BR763" s="68"/>
      <c r="BS763" s="68"/>
      <c r="BT763" s="68"/>
      <c r="BU763" s="68"/>
      <c r="BV763" s="68"/>
      <c r="BW763" s="68"/>
      <c r="BX763" s="68"/>
      <c r="BY763" s="68"/>
      <c r="BZ763" s="68"/>
      <c r="CA763" s="68"/>
      <c r="CB763" s="68"/>
      <c r="CC763" s="68"/>
    </row>
    <row r="764" spans="1:81" ht="15.75" x14ac:dyDescent="0.25">
      <c r="A764" s="68"/>
      <c r="B764" s="68"/>
      <c r="C764" s="68"/>
      <c r="D764" s="69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  <c r="AI764" s="68"/>
      <c r="AJ764" s="68"/>
      <c r="AK764" s="68"/>
      <c r="AL764" s="68"/>
      <c r="AM764" s="68"/>
      <c r="AN764" s="68"/>
      <c r="AO764" s="68"/>
      <c r="AP764" s="68"/>
      <c r="AQ764" s="68"/>
      <c r="AR764" s="68"/>
      <c r="AS764" s="68"/>
      <c r="AT764" s="68"/>
      <c r="AU764" s="68"/>
      <c r="AV764" s="68"/>
      <c r="AW764" s="68"/>
      <c r="AX764" s="68"/>
      <c r="AY764" s="68"/>
      <c r="AZ764" s="68"/>
      <c r="BA764" s="68"/>
      <c r="BB764" s="68"/>
      <c r="BC764" s="68"/>
      <c r="BD764" s="68"/>
      <c r="BE764" s="68"/>
      <c r="BF764" s="68"/>
      <c r="BG764" s="68"/>
      <c r="BH764" s="68"/>
      <c r="BI764" s="68"/>
      <c r="BJ764" s="68"/>
      <c r="BK764" s="68"/>
      <c r="BL764" s="68"/>
      <c r="BM764" s="68"/>
      <c r="BN764" s="68"/>
      <c r="BO764" s="68"/>
      <c r="BP764" s="68"/>
      <c r="BQ764" s="68"/>
      <c r="BR764" s="68"/>
      <c r="BS764" s="68"/>
      <c r="BT764" s="68"/>
      <c r="BU764" s="68"/>
      <c r="BV764" s="68"/>
      <c r="BW764" s="68"/>
      <c r="BX764" s="68"/>
      <c r="BY764" s="68"/>
      <c r="BZ764" s="68"/>
      <c r="CA764" s="68"/>
      <c r="CB764" s="68"/>
      <c r="CC764" s="68"/>
    </row>
    <row r="765" spans="1:81" ht="15.75" x14ac:dyDescent="0.25">
      <c r="A765" s="68"/>
      <c r="B765" s="68"/>
      <c r="C765" s="68"/>
      <c r="D765" s="69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  <c r="AI765" s="68"/>
      <c r="AJ765" s="68"/>
      <c r="AK765" s="68"/>
      <c r="AL765" s="68"/>
      <c r="AM765" s="68"/>
      <c r="AN765" s="68"/>
      <c r="AO765" s="68"/>
      <c r="AP765" s="68"/>
      <c r="AQ765" s="68"/>
      <c r="AR765" s="68"/>
      <c r="AS765" s="68"/>
      <c r="AT765" s="68"/>
      <c r="AU765" s="68"/>
      <c r="AV765" s="68"/>
      <c r="AW765" s="68"/>
      <c r="AX765" s="68"/>
      <c r="AY765" s="68"/>
      <c r="AZ765" s="68"/>
      <c r="BA765" s="68"/>
      <c r="BB765" s="68"/>
      <c r="BC765" s="68"/>
      <c r="BD765" s="68"/>
      <c r="BE765" s="68"/>
      <c r="BF765" s="68"/>
      <c r="BG765" s="68"/>
      <c r="BH765" s="68"/>
      <c r="BI765" s="68"/>
      <c r="BJ765" s="68"/>
      <c r="BK765" s="68"/>
      <c r="BL765" s="68"/>
      <c r="BM765" s="68"/>
      <c r="BN765" s="68"/>
      <c r="BO765" s="68"/>
      <c r="BP765" s="68"/>
      <c r="BQ765" s="68"/>
      <c r="BR765" s="68"/>
      <c r="BS765" s="68"/>
      <c r="BT765" s="68"/>
      <c r="BU765" s="68"/>
      <c r="BV765" s="68"/>
      <c r="BW765" s="68"/>
      <c r="BX765" s="68"/>
      <c r="BY765" s="68"/>
      <c r="BZ765" s="68"/>
      <c r="CA765" s="68"/>
      <c r="CB765" s="68"/>
      <c r="CC765" s="68"/>
    </row>
    <row r="766" spans="1:81" ht="15.75" x14ac:dyDescent="0.25">
      <c r="A766" s="68"/>
      <c r="B766" s="68"/>
      <c r="C766" s="68"/>
      <c r="D766" s="69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  <c r="AI766" s="68"/>
      <c r="AJ766" s="68"/>
      <c r="AK766" s="68"/>
      <c r="AL766" s="68"/>
      <c r="AM766" s="68"/>
      <c r="AN766" s="68"/>
      <c r="AO766" s="68"/>
      <c r="AP766" s="68"/>
      <c r="AQ766" s="68"/>
      <c r="AR766" s="68"/>
      <c r="AS766" s="68"/>
      <c r="AT766" s="68"/>
      <c r="AU766" s="68"/>
      <c r="AV766" s="68"/>
      <c r="AW766" s="68"/>
      <c r="AX766" s="68"/>
      <c r="AY766" s="68"/>
      <c r="AZ766" s="68"/>
      <c r="BA766" s="68"/>
      <c r="BB766" s="68"/>
      <c r="BC766" s="68"/>
      <c r="BD766" s="68"/>
      <c r="BE766" s="68"/>
      <c r="BF766" s="68"/>
      <c r="BG766" s="68"/>
      <c r="BH766" s="68"/>
      <c r="BI766" s="68"/>
      <c r="BJ766" s="68"/>
      <c r="BK766" s="68"/>
      <c r="BL766" s="68"/>
      <c r="BM766" s="68"/>
      <c r="BN766" s="68"/>
      <c r="BO766" s="68"/>
      <c r="BP766" s="68"/>
      <c r="BQ766" s="68"/>
      <c r="BR766" s="68"/>
      <c r="BS766" s="68"/>
      <c r="BT766" s="68"/>
      <c r="BU766" s="68"/>
      <c r="BV766" s="68"/>
      <c r="BW766" s="68"/>
      <c r="BX766" s="68"/>
      <c r="BY766" s="68"/>
      <c r="BZ766" s="68"/>
      <c r="CA766" s="68"/>
      <c r="CB766" s="68"/>
      <c r="CC766" s="68"/>
    </row>
    <row r="767" spans="1:81" ht="15.75" x14ac:dyDescent="0.25">
      <c r="A767" s="68"/>
      <c r="B767" s="68"/>
      <c r="C767" s="68"/>
      <c r="D767" s="69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  <c r="AI767" s="68"/>
      <c r="AJ767" s="68"/>
      <c r="AK767" s="68"/>
      <c r="AL767" s="68"/>
      <c r="AM767" s="68"/>
      <c r="AN767" s="68"/>
      <c r="AO767" s="68"/>
      <c r="AP767" s="68"/>
      <c r="AQ767" s="68"/>
      <c r="AR767" s="68"/>
      <c r="AS767" s="68"/>
      <c r="AT767" s="68"/>
      <c r="AU767" s="68"/>
      <c r="AV767" s="68"/>
      <c r="AW767" s="68"/>
      <c r="AX767" s="68"/>
      <c r="AY767" s="68"/>
      <c r="AZ767" s="68"/>
      <c r="BA767" s="68"/>
      <c r="BB767" s="68"/>
      <c r="BC767" s="68"/>
      <c r="BD767" s="68"/>
      <c r="BE767" s="68"/>
      <c r="BF767" s="68"/>
      <c r="BG767" s="68"/>
      <c r="BH767" s="68"/>
      <c r="BI767" s="68"/>
      <c r="BJ767" s="68"/>
      <c r="BK767" s="68"/>
      <c r="BL767" s="68"/>
      <c r="BM767" s="68"/>
      <c r="BN767" s="68"/>
      <c r="BO767" s="68"/>
      <c r="BP767" s="68"/>
      <c r="BQ767" s="68"/>
      <c r="BR767" s="68"/>
      <c r="BS767" s="68"/>
      <c r="BT767" s="68"/>
      <c r="BU767" s="68"/>
      <c r="BV767" s="68"/>
      <c r="BW767" s="68"/>
      <c r="BX767" s="68"/>
      <c r="BY767" s="68"/>
      <c r="BZ767" s="68"/>
      <c r="CA767" s="68"/>
      <c r="CB767" s="68"/>
      <c r="CC767" s="68"/>
    </row>
    <row r="768" spans="1:81" ht="15.75" x14ac:dyDescent="0.25">
      <c r="A768" s="68"/>
      <c r="B768" s="68"/>
      <c r="C768" s="68"/>
      <c r="D768" s="69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  <c r="AI768" s="68"/>
      <c r="AJ768" s="68"/>
      <c r="AK768" s="68"/>
      <c r="AL768" s="68"/>
      <c r="AM768" s="68"/>
      <c r="AN768" s="68"/>
      <c r="AO768" s="68"/>
      <c r="AP768" s="68"/>
      <c r="AQ768" s="68"/>
      <c r="AR768" s="68"/>
      <c r="AS768" s="68"/>
      <c r="AT768" s="68"/>
      <c r="AU768" s="68"/>
      <c r="AV768" s="68"/>
      <c r="AW768" s="68"/>
      <c r="AX768" s="68"/>
      <c r="AY768" s="68"/>
      <c r="AZ768" s="68"/>
      <c r="BA768" s="68"/>
      <c r="BB768" s="68"/>
      <c r="BC768" s="68"/>
      <c r="BD768" s="68"/>
      <c r="BE768" s="68"/>
      <c r="BF768" s="68"/>
      <c r="BG768" s="68"/>
      <c r="BH768" s="68"/>
      <c r="BI768" s="68"/>
      <c r="BJ768" s="68"/>
      <c r="BK768" s="68"/>
      <c r="BL768" s="68"/>
      <c r="BM768" s="68"/>
      <c r="BN768" s="68"/>
      <c r="BO768" s="68"/>
      <c r="BP768" s="68"/>
      <c r="BQ768" s="68"/>
      <c r="BR768" s="68"/>
      <c r="BS768" s="68"/>
      <c r="BT768" s="68"/>
      <c r="BU768" s="68"/>
      <c r="BV768" s="68"/>
      <c r="BW768" s="68"/>
      <c r="BX768" s="68"/>
      <c r="BY768" s="68"/>
      <c r="BZ768" s="68"/>
      <c r="CA768" s="68"/>
      <c r="CB768" s="68"/>
      <c r="CC768" s="68"/>
    </row>
    <row r="769" spans="1:81" ht="15.75" x14ac:dyDescent="0.25">
      <c r="A769" s="68"/>
      <c r="B769" s="68"/>
      <c r="C769" s="68"/>
      <c r="D769" s="69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  <c r="AI769" s="68"/>
      <c r="AJ769" s="68"/>
      <c r="AK769" s="68"/>
      <c r="AL769" s="68"/>
      <c r="AM769" s="68"/>
      <c r="AN769" s="68"/>
      <c r="AO769" s="68"/>
      <c r="AP769" s="68"/>
      <c r="AQ769" s="68"/>
      <c r="AR769" s="68"/>
      <c r="AS769" s="68"/>
      <c r="AT769" s="68"/>
      <c r="AU769" s="68"/>
      <c r="AV769" s="68"/>
      <c r="AW769" s="68"/>
      <c r="AX769" s="68"/>
      <c r="AY769" s="68"/>
      <c r="AZ769" s="68"/>
      <c r="BA769" s="68"/>
      <c r="BB769" s="68"/>
      <c r="BC769" s="68"/>
      <c r="BD769" s="68"/>
      <c r="BE769" s="68"/>
      <c r="BF769" s="68"/>
      <c r="BG769" s="68"/>
      <c r="BH769" s="68"/>
      <c r="BI769" s="68"/>
      <c r="BJ769" s="68"/>
      <c r="BK769" s="68"/>
      <c r="BL769" s="68"/>
      <c r="BM769" s="68"/>
      <c r="BN769" s="68"/>
      <c r="BO769" s="68"/>
      <c r="BP769" s="68"/>
      <c r="BQ769" s="68"/>
      <c r="BR769" s="68"/>
      <c r="BS769" s="68"/>
      <c r="BT769" s="68"/>
      <c r="BU769" s="68"/>
      <c r="BV769" s="68"/>
      <c r="BW769" s="68"/>
      <c r="BX769" s="68"/>
      <c r="BY769" s="68"/>
      <c r="BZ769" s="68"/>
      <c r="CA769" s="68"/>
      <c r="CB769" s="68"/>
      <c r="CC769" s="68"/>
    </row>
    <row r="770" spans="1:81" ht="15.75" x14ac:dyDescent="0.25">
      <c r="A770" s="68"/>
      <c r="B770" s="68"/>
      <c r="C770" s="68"/>
      <c r="D770" s="69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  <c r="AI770" s="68"/>
      <c r="AJ770" s="68"/>
      <c r="AK770" s="68"/>
      <c r="AL770" s="68"/>
      <c r="AM770" s="68"/>
      <c r="AN770" s="68"/>
      <c r="AO770" s="68"/>
      <c r="AP770" s="68"/>
      <c r="AQ770" s="68"/>
      <c r="AR770" s="68"/>
      <c r="AS770" s="68"/>
      <c r="AT770" s="68"/>
      <c r="AU770" s="68"/>
      <c r="AV770" s="68"/>
      <c r="AW770" s="68"/>
      <c r="AX770" s="68"/>
      <c r="AY770" s="68"/>
      <c r="AZ770" s="68"/>
      <c r="BA770" s="68"/>
      <c r="BB770" s="68"/>
      <c r="BC770" s="68"/>
      <c r="BD770" s="68"/>
      <c r="BE770" s="68"/>
      <c r="BF770" s="68"/>
      <c r="BG770" s="68"/>
      <c r="BH770" s="68"/>
      <c r="BI770" s="68"/>
      <c r="BJ770" s="68"/>
      <c r="BK770" s="68"/>
      <c r="BL770" s="68"/>
      <c r="BM770" s="68"/>
      <c r="BN770" s="68"/>
      <c r="BO770" s="68"/>
      <c r="BP770" s="68"/>
      <c r="BQ770" s="68"/>
      <c r="BR770" s="68"/>
      <c r="BS770" s="68"/>
      <c r="BT770" s="68"/>
      <c r="BU770" s="68"/>
      <c r="BV770" s="68"/>
      <c r="BW770" s="68"/>
      <c r="BX770" s="68"/>
      <c r="BY770" s="68"/>
      <c r="BZ770" s="68"/>
      <c r="CA770" s="68"/>
      <c r="CB770" s="68"/>
      <c r="CC770" s="68"/>
    </row>
    <row r="771" spans="1:81" ht="15.75" x14ac:dyDescent="0.25">
      <c r="A771" s="68"/>
      <c r="B771" s="68"/>
      <c r="C771" s="68"/>
      <c r="D771" s="69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  <c r="AI771" s="68"/>
      <c r="AJ771" s="68"/>
      <c r="AK771" s="68"/>
      <c r="AL771" s="68"/>
      <c r="AM771" s="68"/>
      <c r="AN771" s="68"/>
      <c r="AO771" s="68"/>
      <c r="AP771" s="68"/>
      <c r="AQ771" s="68"/>
      <c r="AR771" s="68"/>
      <c r="AS771" s="68"/>
      <c r="AT771" s="68"/>
      <c r="AU771" s="68"/>
      <c r="AV771" s="68"/>
      <c r="AW771" s="68"/>
      <c r="AX771" s="68"/>
      <c r="AY771" s="68"/>
      <c r="AZ771" s="68"/>
      <c r="BA771" s="68"/>
      <c r="BB771" s="68"/>
      <c r="BC771" s="68"/>
      <c r="BD771" s="68"/>
      <c r="BE771" s="68"/>
      <c r="BF771" s="68"/>
      <c r="BG771" s="68"/>
      <c r="BH771" s="68"/>
      <c r="BI771" s="68"/>
      <c r="BJ771" s="68"/>
      <c r="BK771" s="68"/>
      <c r="BL771" s="68"/>
      <c r="BM771" s="68"/>
      <c r="BN771" s="68"/>
      <c r="BO771" s="68"/>
      <c r="BP771" s="68"/>
      <c r="BQ771" s="68"/>
      <c r="BR771" s="68"/>
      <c r="BS771" s="68"/>
      <c r="BT771" s="68"/>
      <c r="BU771" s="68"/>
      <c r="BV771" s="68"/>
      <c r="BW771" s="68"/>
      <c r="BX771" s="68"/>
      <c r="BY771" s="68"/>
      <c r="BZ771" s="68"/>
      <c r="CA771" s="68"/>
      <c r="CB771" s="68"/>
      <c r="CC771" s="68"/>
    </row>
    <row r="772" spans="1:81" ht="15.75" x14ac:dyDescent="0.25">
      <c r="A772" s="68"/>
      <c r="B772" s="68"/>
      <c r="C772" s="68"/>
      <c r="D772" s="69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8"/>
      <c r="AL772" s="68"/>
      <c r="AM772" s="68"/>
      <c r="AN772" s="68"/>
      <c r="AO772" s="68"/>
      <c r="AP772" s="68"/>
      <c r="AQ772" s="68"/>
      <c r="AR772" s="68"/>
      <c r="AS772" s="68"/>
      <c r="AT772" s="68"/>
      <c r="AU772" s="68"/>
      <c r="AV772" s="68"/>
      <c r="AW772" s="68"/>
      <c r="AX772" s="68"/>
      <c r="AY772" s="68"/>
      <c r="AZ772" s="68"/>
      <c r="BA772" s="68"/>
      <c r="BB772" s="68"/>
      <c r="BC772" s="68"/>
      <c r="BD772" s="68"/>
      <c r="BE772" s="68"/>
      <c r="BF772" s="68"/>
      <c r="BG772" s="68"/>
      <c r="BH772" s="68"/>
      <c r="BI772" s="68"/>
      <c r="BJ772" s="68"/>
      <c r="BK772" s="68"/>
      <c r="BL772" s="68"/>
      <c r="BM772" s="68"/>
      <c r="BN772" s="68"/>
      <c r="BO772" s="68"/>
      <c r="BP772" s="68"/>
      <c r="BQ772" s="68"/>
      <c r="BR772" s="68"/>
      <c r="BS772" s="68"/>
      <c r="BT772" s="68"/>
      <c r="BU772" s="68"/>
      <c r="BV772" s="68"/>
      <c r="BW772" s="68"/>
      <c r="BX772" s="68"/>
      <c r="BY772" s="68"/>
      <c r="BZ772" s="68"/>
      <c r="CA772" s="68"/>
      <c r="CB772" s="68"/>
      <c r="CC772" s="68"/>
    </row>
    <row r="773" spans="1:81" ht="15.75" x14ac:dyDescent="0.25">
      <c r="A773" s="68"/>
      <c r="B773" s="68"/>
      <c r="C773" s="68"/>
      <c r="D773" s="69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  <c r="AI773" s="68"/>
      <c r="AJ773" s="68"/>
      <c r="AK773" s="68"/>
      <c r="AL773" s="68"/>
      <c r="AM773" s="68"/>
      <c r="AN773" s="68"/>
      <c r="AO773" s="68"/>
      <c r="AP773" s="68"/>
      <c r="AQ773" s="68"/>
      <c r="AR773" s="68"/>
      <c r="AS773" s="68"/>
      <c r="AT773" s="68"/>
      <c r="AU773" s="68"/>
      <c r="AV773" s="68"/>
      <c r="AW773" s="68"/>
      <c r="AX773" s="68"/>
      <c r="AY773" s="68"/>
      <c r="AZ773" s="68"/>
      <c r="BA773" s="68"/>
      <c r="BB773" s="68"/>
      <c r="BC773" s="68"/>
      <c r="BD773" s="68"/>
      <c r="BE773" s="68"/>
      <c r="BF773" s="68"/>
      <c r="BG773" s="68"/>
      <c r="BH773" s="68"/>
      <c r="BI773" s="68"/>
      <c r="BJ773" s="68"/>
      <c r="BK773" s="68"/>
      <c r="BL773" s="68"/>
      <c r="BM773" s="68"/>
      <c r="BN773" s="68"/>
      <c r="BO773" s="68"/>
      <c r="BP773" s="68"/>
      <c r="BQ773" s="68"/>
      <c r="BR773" s="68"/>
      <c r="BS773" s="68"/>
      <c r="BT773" s="68"/>
      <c r="BU773" s="68"/>
      <c r="BV773" s="68"/>
      <c r="BW773" s="68"/>
      <c r="BX773" s="68"/>
      <c r="BY773" s="68"/>
      <c r="BZ773" s="68"/>
      <c r="CA773" s="68"/>
      <c r="CB773" s="68"/>
      <c r="CC773" s="68"/>
    </row>
    <row r="774" spans="1:81" ht="15.75" x14ac:dyDescent="0.25">
      <c r="A774" s="68"/>
      <c r="B774" s="68"/>
      <c r="C774" s="68"/>
      <c r="D774" s="69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  <c r="AI774" s="68"/>
      <c r="AJ774" s="68"/>
      <c r="AK774" s="68"/>
      <c r="AL774" s="68"/>
      <c r="AM774" s="68"/>
      <c r="AN774" s="68"/>
      <c r="AO774" s="68"/>
      <c r="AP774" s="68"/>
      <c r="AQ774" s="68"/>
      <c r="AR774" s="68"/>
      <c r="AS774" s="68"/>
      <c r="AT774" s="68"/>
      <c r="AU774" s="68"/>
      <c r="AV774" s="68"/>
      <c r="AW774" s="68"/>
      <c r="AX774" s="68"/>
      <c r="AY774" s="68"/>
      <c r="AZ774" s="68"/>
      <c r="BA774" s="68"/>
      <c r="BB774" s="68"/>
      <c r="BC774" s="68"/>
      <c r="BD774" s="68"/>
      <c r="BE774" s="68"/>
      <c r="BF774" s="68"/>
      <c r="BG774" s="68"/>
      <c r="BH774" s="68"/>
      <c r="BI774" s="68"/>
      <c r="BJ774" s="68"/>
      <c r="BK774" s="68"/>
      <c r="BL774" s="68"/>
      <c r="BM774" s="68"/>
      <c r="BN774" s="68"/>
      <c r="BO774" s="68"/>
      <c r="BP774" s="68"/>
      <c r="BQ774" s="68"/>
      <c r="BR774" s="68"/>
      <c r="BS774" s="68"/>
      <c r="BT774" s="68"/>
      <c r="BU774" s="68"/>
      <c r="BV774" s="68"/>
      <c r="BW774" s="68"/>
      <c r="BX774" s="68"/>
      <c r="BY774" s="68"/>
      <c r="BZ774" s="68"/>
      <c r="CA774" s="68"/>
      <c r="CB774" s="68"/>
      <c r="CC774" s="68"/>
    </row>
    <row r="775" spans="1:81" ht="15.75" x14ac:dyDescent="0.25">
      <c r="A775" s="68"/>
      <c r="B775" s="68"/>
      <c r="C775" s="68"/>
      <c r="D775" s="69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  <c r="AI775" s="68"/>
      <c r="AJ775" s="68"/>
      <c r="AK775" s="68"/>
      <c r="AL775" s="68"/>
      <c r="AM775" s="68"/>
      <c r="AN775" s="68"/>
      <c r="AO775" s="68"/>
      <c r="AP775" s="68"/>
      <c r="AQ775" s="68"/>
      <c r="AR775" s="68"/>
      <c r="AS775" s="68"/>
      <c r="AT775" s="68"/>
      <c r="AU775" s="68"/>
      <c r="AV775" s="68"/>
      <c r="AW775" s="68"/>
      <c r="AX775" s="68"/>
      <c r="AY775" s="68"/>
      <c r="AZ775" s="68"/>
      <c r="BA775" s="68"/>
      <c r="BB775" s="68"/>
      <c r="BC775" s="68"/>
      <c r="BD775" s="68"/>
      <c r="BE775" s="68"/>
      <c r="BF775" s="68"/>
      <c r="BG775" s="68"/>
      <c r="BH775" s="68"/>
      <c r="BI775" s="68"/>
      <c r="BJ775" s="68"/>
      <c r="BK775" s="68"/>
      <c r="BL775" s="68"/>
      <c r="BM775" s="68"/>
      <c r="BN775" s="68"/>
      <c r="BO775" s="68"/>
      <c r="BP775" s="68"/>
      <c r="BQ775" s="68"/>
      <c r="BR775" s="68"/>
      <c r="BS775" s="68"/>
      <c r="BT775" s="68"/>
      <c r="BU775" s="68"/>
      <c r="BV775" s="68"/>
      <c r="BW775" s="68"/>
      <c r="BX775" s="68"/>
      <c r="BY775" s="68"/>
      <c r="BZ775" s="68"/>
      <c r="CA775" s="68"/>
      <c r="CB775" s="68"/>
      <c r="CC775" s="68"/>
    </row>
    <row r="776" spans="1:81" ht="15.75" x14ac:dyDescent="0.25">
      <c r="A776" s="68"/>
      <c r="B776" s="68"/>
      <c r="C776" s="68"/>
      <c r="D776" s="69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  <c r="AI776" s="68"/>
      <c r="AJ776" s="68"/>
      <c r="AK776" s="68"/>
      <c r="AL776" s="68"/>
      <c r="AM776" s="68"/>
      <c r="AN776" s="68"/>
      <c r="AO776" s="68"/>
      <c r="AP776" s="68"/>
      <c r="AQ776" s="68"/>
      <c r="AR776" s="68"/>
      <c r="AS776" s="68"/>
      <c r="AT776" s="68"/>
      <c r="AU776" s="68"/>
      <c r="AV776" s="68"/>
      <c r="AW776" s="68"/>
      <c r="AX776" s="68"/>
      <c r="AY776" s="68"/>
      <c r="AZ776" s="68"/>
      <c r="BA776" s="68"/>
      <c r="BB776" s="68"/>
      <c r="BC776" s="68"/>
      <c r="BD776" s="68"/>
      <c r="BE776" s="68"/>
      <c r="BF776" s="68"/>
      <c r="BG776" s="68"/>
      <c r="BH776" s="68"/>
      <c r="BI776" s="68"/>
      <c r="BJ776" s="68"/>
      <c r="BK776" s="68"/>
      <c r="BL776" s="68"/>
      <c r="BM776" s="68"/>
      <c r="BN776" s="68"/>
      <c r="BO776" s="68"/>
      <c r="BP776" s="68"/>
      <c r="BQ776" s="68"/>
      <c r="BR776" s="68"/>
      <c r="BS776" s="68"/>
      <c r="BT776" s="68"/>
      <c r="BU776" s="68"/>
      <c r="BV776" s="68"/>
      <c r="BW776" s="68"/>
      <c r="BX776" s="68"/>
      <c r="BY776" s="68"/>
      <c r="BZ776" s="68"/>
      <c r="CA776" s="68"/>
      <c r="CB776" s="68"/>
      <c r="CC776" s="68"/>
    </row>
    <row r="777" spans="1:81" ht="15.75" x14ac:dyDescent="0.25">
      <c r="A777" s="68"/>
      <c r="B777" s="68"/>
      <c r="C777" s="68"/>
      <c r="D777" s="69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  <c r="AI777" s="68"/>
      <c r="AJ777" s="68"/>
      <c r="AK777" s="68"/>
      <c r="AL777" s="68"/>
      <c r="AM777" s="68"/>
      <c r="AN777" s="68"/>
      <c r="AO777" s="68"/>
      <c r="AP777" s="68"/>
      <c r="AQ777" s="68"/>
      <c r="AR777" s="68"/>
      <c r="AS777" s="68"/>
      <c r="AT777" s="68"/>
      <c r="AU777" s="68"/>
      <c r="AV777" s="68"/>
      <c r="AW777" s="68"/>
      <c r="AX777" s="68"/>
      <c r="AY777" s="68"/>
      <c r="AZ777" s="68"/>
      <c r="BA777" s="68"/>
      <c r="BB777" s="68"/>
      <c r="BC777" s="68"/>
      <c r="BD777" s="68"/>
      <c r="BE777" s="68"/>
      <c r="BF777" s="68"/>
      <c r="BG777" s="68"/>
      <c r="BH777" s="68"/>
      <c r="BI777" s="68"/>
      <c r="BJ777" s="68"/>
      <c r="BK777" s="68"/>
      <c r="BL777" s="68"/>
      <c r="BM777" s="68"/>
      <c r="BN777" s="68"/>
      <c r="BO777" s="68"/>
      <c r="BP777" s="68"/>
      <c r="BQ777" s="68"/>
      <c r="BR777" s="68"/>
      <c r="BS777" s="68"/>
      <c r="BT777" s="68"/>
      <c r="BU777" s="68"/>
      <c r="BV777" s="68"/>
      <c r="BW777" s="68"/>
      <c r="BX777" s="68"/>
      <c r="BY777" s="68"/>
      <c r="BZ777" s="68"/>
      <c r="CA777" s="68"/>
      <c r="CB777" s="68"/>
      <c r="CC777" s="68"/>
    </row>
    <row r="778" spans="1:81" ht="15.75" x14ac:dyDescent="0.25">
      <c r="A778" s="68"/>
      <c r="B778" s="68"/>
      <c r="C778" s="68"/>
      <c r="D778" s="69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  <c r="AI778" s="68"/>
      <c r="AJ778" s="68"/>
      <c r="AK778" s="68"/>
      <c r="AL778" s="68"/>
      <c r="AM778" s="68"/>
      <c r="AN778" s="68"/>
      <c r="AO778" s="68"/>
      <c r="AP778" s="68"/>
      <c r="AQ778" s="68"/>
      <c r="AR778" s="68"/>
      <c r="AS778" s="68"/>
      <c r="AT778" s="68"/>
      <c r="AU778" s="68"/>
      <c r="AV778" s="68"/>
      <c r="AW778" s="68"/>
      <c r="AX778" s="68"/>
      <c r="AY778" s="68"/>
      <c r="AZ778" s="68"/>
      <c r="BA778" s="68"/>
      <c r="BB778" s="68"/>
      <c r="BC778" s="68"/>
      <c r="BD778" s="68"/>
      <c r="BE778" s="68"/>
      <c r="BF778" s="68"/>
      <c r="BG778" s="68"/>
      <c r="BH778" s="68"/>
      <c r="BI778" s="68"/>
      <c r="BJ778" s="68"/>
      <c r="BK778" s="68"/>
      <c r="BL778" s="68"/>
      <c r="BM778" s="68"/>
      <c r="BN778" s="68"/>
      <c r="BO778" s="68"/>
      <c r="BP778" s="68"/>
      <c r="BQ778" s="68"/>
      <c r="BR778" s="68"/>
      <c r="BS778" s="68"/>
      <c r="BT778" s="68"/>
      <c r="BU778" s="68"/>
      <c r="BV778" s="68"/>
      <c r="BW778" s="68"/>
      <c r="BX778" s="68"/>
      <c r="BY778" s="68"/>
      <c r="BZ778" s="68"/>
      <c r="CA778" s="68"/>
      <c r="CB778" s="68"/>
      <c r="CC778" s="68"/>
    </row>
    <row r="779" spans="1:81" ht="15.75" x14ac:dyDescent="0.25">
      <c r="A779" s="68"/>
      <c r="B779" s="68"/>
      <c r="C779" s="68"/>
      <c r="D779" s="69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  <c r="AI779" s="68"/>
      <c r="AJ779" s="68"/>
      <c r="AK779" s="68"/>
      <c r="AL779" s="68"/>
      <c r="AM779" s="68"/>
      <c r="AN779" s="68"/>
      <c r="AO779" s="68"/>
      <c r="AP779" s="68"/>
      <c r="AQ779" s="68"/>
      <c r="AR779" s="68"/>
      <c r="AS779" s="68"/>
      <c r="AT779" s="68"/>
      <c r="AU779" s="68"/>
      <c r="AV779" s="68"/>
      <c r="AW779" s="68"/>
      <c r="AX779" s="68"/>
      <c r="AY779" s="68"/>
      <c r="AZ779" s="68"/>
      <c r="BA779" s="68"/>
      <c r="BB779" s="68"/>
      <c r="BC779" s="68"/>
      <c r="BD779" s="68"/>
      <c r="BE779" s="68"/>
      <c r="BF779" s="68"/>
      <c r="BG779" s="68"/>
      <c r="BH779" s="68"/>
      <c r="BI779" s="68"/>
      <c r="BJ779" s="68"/>
      <c r="BK779" s="68"/>
      <c r="BL779" s="68"/>
      <c r="BM779" s="68"/>
      <c r="BN779" s="68"/>
      <c r="BO779" s="68"/>
      <c r="BP779" s="68"/>
      <c r="BQ779" s="68"/>
      <c r="BR779" s="68"/>
      <c r="BS779" s="68"/>
      <c r="BT779" s="68"/>
      <c r="BU779" s="68"/>
      <c r="BV779" s="68"/>
      <c r="BW779" s="68"/>
      <c r="BX779" s="68"/>
      <c r="BY779" s="68"/>
      <c r="BZ779" s="68"/>
      <c r="CA779" s="68"/>
      <c r="CB779" s="68"/>
      <c r="CC779" s="68"/>
    </row>
    <row r="780" spans="1:81" ht="15.75" x14ac:dyDescent="0.25">
      <c r="A780" s="68"/>
      <c r="B780" s="68"/>
      <c r="C780" s="68"/>
      <c r="D780" s="69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  <c r="AI780" s="68"/>
      <c r="AJ780" s="68"/>
      <c r="AK780" s="68"/>
      <c r="AL780" s="68"/>
      <c r="AM780" s="68"/>
      <c r="AN780" s="68"/>
      <c r="AO780" s="68"/>
      <c r="AP780" s="68"/>
      <c r="AQ780" s="68"/>
      <c r="AR780" s="68"/>
      <c r="AS780" s="68"/>
      <c r="AT780" s="68"/>
      <c r="AU780" s="68"/>
      <c r="AV780" s="68"/>
      <c r="AW780" s="68"/>
      <c r="AX780" s="68"/>
      <c r="AY780" s="68"/>
      <c r="AZ780" s="68"/>
      <c r="BA780" s="68"/>
      <c r="BB780" s="68"/>
      <c r="BC780" s="68"/>
      <c r="BD780" s="68"/>
      <c r="BE780" s="68"/>
      <c r="BF780" s="68"/>
      <c r="BG780" s="68"/>
      <c r="BH780" s="68"/>
      <c r="BI780" s="68"/>
      <c r="BJ780" s="68"/>
      <c r="BK780" s="68"/>
      <c r="BL780" s="68"/>
      <c r="BM780" s="68"/>
      <c r="BN780" s="68"/>
      <c r="BO780" s="68"/>
      <c r="BP780" s="68"/>
      <c r="BQ780" s="68"/>
      <c r="BR780" s="68"/>
      <c r="BS780" s="68"/>
      <c r="BT780" s="68"/>
      <c r="BU780" s="68"/>
      <c r="BV780" s="68"/>
      <c r="BW780" s="68"/>
      <c r="BX780" s="68"/>
      <c r="BY780" s="68"/>
      <c r="BZ780" s="68"/>
      <c r="CA780" s="68"/>
      <c r="CB780" s="68"/>
      <c r="CC780" s="68"/>
    </row>
    <row r="781" spans="1:81" ht="15.75" x14ac:dyDescent="0.25">
      <c r="A781" s="68"/>
      <c r="B781" s="68"/>
      <c r="C781" s="68"/>
      <c r="D781" s="69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  <c r="AI781" s="68"/>
      <c r="AJ781" s="68"/>
      <c r="AK781" s="68"/>
      <c r="AL781" s="68"/>
      <c r="AM781" s="68"/>
      <c r="AN781" s="68"/>
      <c r="AO781" s="68"/>
      <c r="AP781" s="68"/>
      <c r="AQ781" s="68"/>
      <c r="AR781" s="68"/>
      <c r="AS781" s="68"/>
      <c r="AT781" s="68"/>
      <c r="AU781" s="68"/>
      <c r="AV781" s="68"/>
      <c r="AW781" s="68"/>
      <c r="AX781" s="68"/>
      <c r="AY781" s="68"/>
      <c r="AZ781" s="68"/>
      <c r="BA781" s="68"/>
      <c r="BB781" s="68"/>
      <c r="BC781" s="68"/>
      <c r="BD781" s="68"/>
      <c r="BE781" s="68"/>
      <c r="BF781" s="68"/>
      <c r="BG781" s="68"/>
      <c r="BH781" s="68"/>
      <c r="BI781" s="68"/>
      <c r="BJ781" s="68"/>
      <c r="BK781" s="68"/>
      <c r="BL781" s="68"/>
      <c r="BM781" s="68"/>
      <c r="BN781" s="68"/>
      <c r="BO781" s="68"/>
      <c r="BP781" s="68"/>
      <c r="BQ781" s="68"/>
      <c r="BR781" s="68"/>
      <c r="BS781" s="68"/>
      <c r="BT781" s="68"/>
      <c r="BU781" s="68"/>
      <c r="BV781" s="68"/>
      <c r="BW781" s="68"/>
      <c r="BX781" s="68"/>
      <c r="BY781" s="68"/>
      <c r="BZ781" s="68"/>
      <c r="CA781" s="68"/>
      <c r="CB781" s="68"/>
      <c r="CC781" s="68"/>
    </row>
    <row r="782" spans="1:81" ht="15.75" x14ac:dyDescent="0.25">
      <c r="A782" s="68"/>
      <c r="B782" s="68"/>
      <c r="C782" s="68"/>
      <c r="D782" s="69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  <c r="AI782" s="68"/>
      <c r="AJ782" s="68"/>
      <c r="AK782" s="68"/>
      <c r="AL782" s="68"/>
      <c r="AM782" s="68"/>
      <c r="AN782" s="68"/>
      <c r="AO782" s="68"/>
      <c r="AP782" s="68"/>
      <c r="AQ782" s="68"/>
      <c r="AR782" s="68"/>
      <c r="AS782" s="68"/>
      <c r="AT782" s="68"/>
      <c r="AU782" s="68"/>
      <c r="AV782" s="68"/>
      <c r="AW782" s="68"/>
      <c r="AX782" s="68"/>
      <c r="AY782" s="68"/>
      <c r="AZ782" s="68"/>
      <c r="BA782" s="68"/>
      <c r="BB782" s="68"/>
      <c r="BC782" s="68"/>
      <c r="BD782" s="68"/>
      <c r="BE782" s="68"/>
      <c r="BF782" s="68"/>
      <c r="BG782" s="68"/>
      <c r="BH782" s="68"/>
      <c r="BI782" s="68"/>
      <c r="BJ782" s="68"/>
      <c r="BK782" s="68"/>
      <c r="BL782" s="68"/>
      <c r="BM782" s="68"/>
      <c r="BN782" s="68"/>
      <c r="BO782" s="68"/>
      <c r="BP782" s="68"/>
      <c r="BQ782" s="68"/>
      <c r="BR782" s="68"/>
      <c r="BS782" s="68"/>
      <c r="BT782" s="68"/>
      <c r="BU782" s="68"/>
      <c r="BV782" s="68"/>
      <c r="BW782" s="68"/>
      <c r="BX782" s="68"/>
      <c r="BY782" s="68"/>
      <c r="BZ782" s="68"/>
      <c r="CA782" s="68"/>
      <c r="CB782" s="68"/>
      <c r="CC782" s="68"/>
    </row>
    <row r="783" spans="1:81" ht="15.75" x14ac:dyDescent="0.25">
      <c r="A783" s="68"/>
      <c r="B783" s="68"/>
      <c r="C783" s="68"/>
      <c r="D783" s="69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  <c r="AI783" s="68"/>
      <c r="AJ783" s="68"/>
      <c r="AK783" s="68"/>
      <c r="AL783" s="68"/>
      <c r="AM783" s="68"/>
      <c r="AN783" s="68"/>
      <c r="AO783" s="68"/>
      <c r="AP783" s="68"/>
      <c r="AQ783" s="68"/>
      <c r="AR783" s="68"/>
      <c r="AS783" s="68"/>
      <c r="AT783" s="68"/>
      <c r="AU783" s="68"/>
      <c r="AV783" s="68"/>
      <c r="AW783" s="68"/>
      <c r="AX783" s="68"/>
      <c r="AY783" s="68"/>
      <c r="AZ783" s="68"/>
      <c r="BA783" s="68"/>
      <c r="BB783" s="68"/>
      <c r="BC783" s="68"/>
      <c r="BD783" s="68"/>
      <c r="BE783" s="68"/>
      <c r="BF783" s="68"/>
      <c r="BG783" s="68"/>
      <c r="BH783" s="68"/>
      <c r="BI783" s="68"/>
      <c r="BJ783" s="68"/>
      <c r="BK783" s="68"/>
      <c r="BL783" s="68"/>
      <c r="BM783" s="68"/>
      <c r="BN783" s="68"/>
      <c r="BO783" s="68"/>
      <c r="BP783" s="68"/>
      <c r="BQ783" s="68"/>
      <c r="BR783" s="68"/>
      <c r="BS783" s="68"/>
      <c r="BT783" s="68"/>
      <c r="BU783" s="68"/>
      <c r="BV783" s="68"/>
      <c r="BW783" s="68"/>
      <c r="BX783" s="68"/>
      <c r="BY783" s="68"/>
      <c r="BZ783" s="68"/>
      <c r="CA783" s="68"/>
      <c r="CB783" s="68"/>
      <c r="CC783" s="68"/>
    </row>
    <row r="784" spans="1:81" ht="15.75" x14ac:dyDescent="0.25">
      <c r="A784" s="68"/>
      <c r="B784" s="68"/>
      <c r="C784" s="68"/>
      <c r="D784" s="69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  <c r="AI784" s="68"/>
      <c r="AJ784" s="68"/>
      <c r="AK784" s="68"/>
      <c r="AL784" s="68"/>
      <c r="AM784" s="68"/>
      <c r="AN784" s="68"/>
      <c r="AO784" s="68"/>
      <c r="AP784" s="68"/>
      <c r="AQ784" s="68"/>
      <c r="AR784" s="68"/>
      <c r="AS784" s="68"/>
      <c r="AT784" s="68"/>
      <c r="AU784" s="68"/>
      <c r="AV784" s="68"/>
      <c r="AW784" s="68"/>
      <c r="AX784" s="68"/>
      <c r="AY784" s="68"/>
      <c r="AZ784" s="68"/>
      <c r="BA784" s="68"/>
      <c r="BB784" s="68"/>
      <c r="BC784" s="68"/>
      <c r="BD784" s="68"/>
      <c r="BE784" s="68"/>
      <c r="BF784" s="68"/>
      <c r="BG784" s="68"/>
      <c r="BH784" s="68"/>
      <c r="BI784" s="68"/>
      <c r="BJ784" s="68"/>
      <c r="BK784" s="68"/>
      <c r="BL784" s="68"/>
      <c r="BM784" s="68"/>
      <c r="BN784" s="68"/>
      <c r="BO784" s="68"/>
      <c r="BP784" s="68"/>
      <c r="BQ784" s="68"/>
      <c r="BR784" s="68"/>
      <c r="BS784" s="68"/>
      <c r="BT784" s="68"/>
      <c r="BU784" s="68"/>
      <c r="BV784" s="68"/>
      <c r="BW784" s="68"/>
      <c r="BX784" s="68"/>
      <c r="BY784" s="68"/>
      <c r="BZ784" s="68"/>
      <c r="CA784" s="68"/>
      <c r="CB784" s="68"/>
      <c r="CC784" s="68"/>
    </row>
    <row r="785" spans="1:81" ht="15.75" x14ac:dyDescent="0.25">
      <c r="A785" s="68"/>
      <c r="B785" s="68"/>
      <c r="C785" s="68"/>
      <c r="D785" s="69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  <c r="AI785" s="68"/>
      <c r="AJ785" s="68"/>
      <c r="AK785" s="68"/>
      <c r="AL785" s="68"/>
      <c r="AM785" s="68"/>
      <c r="AN785" s="68"/>
      <c r="AO785" s="68"/>
      <c r="AP785" s="68"/>
      <c r="AQ785" s="68"/>
      <c r="AR785" s="68"/>
      <c r="AS785" s="68"/>
      <c r="AT785" s="68"/>
      <c r="AU785" s="68"/>
      <c r="AV785" s="68"/>
      <c r="AW785" s="68"/>
      <c r="AX785" s="68"/>
      <c r="AY785" s="68"/>
      <c r="AZ785" s="68"/>
      <c r="BA785" s="68"/>
      <c r="BB785" s="68"/>
      <c r="BC785" s="68"/>
      <c r="BD785" s="68"/>
      <c r="BE785" s="68"/>
      <c r="BF785" s="68"/>
      <c r="BG785" s="68"/>
      <c r="BH785" s="68"/>
      <c r="BI785" s="68"/>
      <c r="BJ785" s="68"/>
      <c r="BK785" s="68"/>
      <c r="BL785" s="68"/>
      <c r="BM785" s="68"/>
      <c r="BN785" s="68"/>
      <c r="BO785" s="68"/>
      <c r="BP785" s="68"/>
      <c r="BQ785" s="68"/>
      <c r="BR785" s="68"/>
      <c r="BS785" s="68"/>
      <c r="BT785" s="68"/>
      <c r="BU785" s="68"/>
      <c r="BV785" s="68"/>
      <c r="BW785" s="68"/>
      <c r="BX785" s="68"/>
      <c r="BY785" s="68"/>
      <c r="BZ785" s="68"/>
      <c r="CA785" s="68"/>
      <c r="CB785" s="68"/>
      <c r="CC785" s="68"/>
    </row>
    <row r="786" spans="1:81" ht="15.75" x14ac:dyDescent="0.25">
      <c r="A786" s="68"/>
      <c r="B786" s="68"/>
      <c r="C786" s="68"/>
      <c r="D786" s="69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  <c r="AI786" s="68"/>
      <c r="AJ786" s="68"/>
      <c r="AK786" s="68"/>
      <c r="AL786" s="68"/>
      <c r="AM786" s="68"/>
      <c r="AN786" s="68"/>
      <c r="AO786" s="68"/>
      <c r="AP786" s="68"/>
      <c r="AQ786" s="68"/>
      <c r="AR786" s="68"/>
      <c r="AS786" s="68"/>
      <c r="AT786" s="68"/>
      <c r="AU786" s="68"/>
      <c r="AV786" s="68"/>
      <c r="AW786" s="68"/>
      <c r="AX786" s="68"/>
      <c r="AY786" s="68"/>
      <c r="AZ786" s="68"/>
      <c r="BA786" s="68"/>
      <c r="BB786" s="68"/>
      <c r="BC786" s="68"/>
      <c r="BD786" s="68"/>
      <c r="BE786" s="68"/>
      <c r="BF786" s="68"/>
      <c r="BG786" s="68"/>
      <c r="BH786" s="68"/>
      <c r="BI786" s="68"/>
      <c r="BJ786" s="68"/>
      <c r="BK786" s="68"/>
      <c r="BL786" s="68"/>
      <c r="BM786" s="68"/>
      <c r="BN786" s="68"/>
      <c r="BO786" s="68"/>
      <c r="BP786" s="68"/>
      <c r="BQ786" s="68"/>
      <c r="BR786" s="68"/>
      <c r="BS786" s="68"/>
      <c r="BT786" s="68"/>
      <c r="BU786" s="68"/>
      <c r="BV786" s="68"/>
      <c r="BW786" s="68"/>
      <c r="BX786" s="68"/>
      <c r="BY786" s="68"/>
      <c r="BZ786" s="68"/>
      <c r="CA786" s="68"/>
      <c r="CB786" s="68"/>
      <c r="CC786" s="68"/>
    </row>
    <row r="787" spans="1:81" ht="15.75" x14ac:dyDescent="0.25">
      <c r="A787" s="68"/>
      <c r="B787" s="68"/>
      <c r="C787" s="68"/>
      <c r="D787" s="69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  <c r="AI787" s="68"/>
      <c r="AJ787" s="68"/>
      <c r="AK787" s="68"/>
      <c r="AL787" s="68"/>
      <c r="AM787" s="68"/>
      <c r="AN787" s="68"/>
      <c r="AO787" s="68"/>
      <c r="AP787" s="68"/>
      <c r="AQ787" s="68"/>
      <c r="AR787" s="68"/>
      <c r="AS787" s="68"/>
      <c r="AT787" s="68"/>
      <c r="AU787" s="68"/>
      <c r="AV787" s="68"/>
      <c r="AW787" s="68"/>
      <c r="AX787" s="68"/>
      <c r="AY787" s="68"/>
      <c r="AZ787" s="68"/>
      <c r="BA787" s="68"/>
      <c r="BB787" s="68"/>
      <c r="BC787" s="68"/>
      <c r="BD787" s="68"/>
      <c r="BE787" s="68"/>
      <c r="BF787" s="68"/>
      <c r="BG787" s="68"/>
      <c r="BH787" s="68"/>
      <c r="BI787" s="68"/>
      <c r="BJ787" s="68"/>
      <c r="BK787" s="68"/>
      <c r="BL787" s="68"/>
      <c r="BM787" s="68"/>
      <c r="BN787" s="68"/>
      <c r="BO787" s="68"/>
      <c r="BP787" s="68"/>
      <c r="BQ787" s="68"/>
      <c r="BR787" s="68"/>
      <c r="BS787" s="68"/>
      <c r="BT787" s="68"/>
      <c r="BU787" s="68"/>
      <c r="BV787" s="68"/>
      <c r="BW787" s="68"/>
      <c r="BX787" s="68"/>
      <c r="BY787" s="68"/>
      <c r="BZ787" s="68"/>
      <c r="CA787" s="68"/>
      <c r="CB787" s="68"/>
      <c r="CC787" s="68"/>
    </row>
    <row r="788" spans="1:81" ht="15.75" x14ac:dyDescent="0.25">
      <c r="A788" s="68"/>
      <c r="B788" s="68"/>
      <c r="C788" s="68"/>
      <c r="D788" s="69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  <c r="AI788" s="68"/>
      <c r="AJ788" s="68"/>
      <c r="AK788" s="68"/>
      <c r="AL788" s="68"/>
      <c r="AM788" s="68"/>
      <c r="AN788" s="68"/>
      <c r="AO788" s="68"/>
      <c r="AP788" s="68"/>
      <c r="AQ788" s="68"/>
      <c r="AR788" s="68"/>
      <c r="AS788" s="68"/>
      <c r="AT788" s="68"/>
      <c r="AU788" s="68"/>
      <c r="AV788" s="68"/>
      <c r="AW788" s="68"/>
      <c r="AX788" s="68"/>
      <c r="AY788" s="68"/>
      <c r="AZ788" s="68"/>
      <c r="BA788" s="68"/>
      <c r="BB788" s="68"/>
      <c r="BC788" s="68"/>
      <c r="BD788" s="68"/>
      <c r="BE788" s="68"/>
      <c r="BF788" s="68"/>
      <c r="BG788" s="68"/>
      <c r="BH788" s="68"/>
      <c r="BI788" s="68"/>
      <c r="BJ788" s="68"/>
      <c r="BK788" s="68"/>
      <c r="BL788" s="68"/>
      <c r="BM788" s="68"/>
      <c r="BN788" s="68"/>
      <c r="BO788" s="68"/>
      <c r="BP788" s="68"/>
      <c r="BQ788" s="68"/>
      <c r="BR788" s="68"/>
      <c r="BS788" s="68"/>
      <c r="BT788" s="68"/>
      <c r="BU788" s="68"/>
      <c r="BV788" s="68"/>
      <c r="BW788" s="68"/>
      <c r="BX788" s="68"/>
      <c r="BY788" s="68"/>
      <c r="BZ788" s="68"/>
      <c r="CA788" s="68"/>
      <c r="CB788" s="68"/>
      <c r="CC788" s="68"/>
    </row>
    <row r="789" spans="1:81" ht="15.75" x14ac:dyDescent="0.25">
      <c r="A789" s="68"/>
      <c r="B789" s="68"/>
      <c r="C789" s="68"/>
      <c r="D789" s="69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  <c r="AI789" s="68"/>
      <c r="AJ789" s="68"/>
      <c r="AK789" s="68"/>
      <c r="AL789" s="68"/>
      <c r="AM789" s="68"/>
      <c r="AN789" s="68"/>
      <c r="AO789" s="68"/>
      <c r="AP789" s="68"/>
      <c r="AQ789" s="68"/>
      <c r="AR789" s="68"/>
      <c r="AS789" s="68"/>
      <c r="AT789" s="68"/>
      <c r="AU789" s="68"/>
      <c r="AV789" s="68"/>
      <c r="AW789" s="68"/>
      <c r="AX789" s="68"/>
      <c r="AY789" s="68"/>
      <c r="AZ789" s="68"/>
      <c r="BA789" s="68"/>
      <c r="BB789" s="68"/>
      <c r="BC789" s="68"/>
      <c r="BD789" s="68"/>
      <c r="BE789" s="68"/>
      <c r="BF789" s="68"/>
      <c r="BG789" s="68"/>
      <c r="BH789" s="68"/>
      <c r="BI789" s="68"/>
      <c r="BJ789" s="68"/>
      <c r="BK789" s="68"/>
      <c r="BL789" s="68"/>
      <c r="BM789" s="68"/>
      <c r="BN789" s="68"/>
      <c r="BO789" s="68"/>
      <c r="BP789" s="68"/>
      <c r="BQ789" s="68"/>
      <c r="BR789" s="68"/>
      <c r="BS789" s="68"/>
      <c r="BT789" s="68"/>
      <c r="BU789" s="68"/>
      <c r="BV789" s="68"/>
      <c r="BW789" s="68"/>
      <c r="BX789" s="68"/>
      <c r="BY789" s="68"/>
      <c r="BZ789" s="68"/>
      <c r="CA789" s="68"/>
      <c r="CB789" s="68"/>
      <c r="CC789" s="68"/>
    </row>
    <row r="790" spans="1:81" ht="15.75" x14ac:dyDescent="0.25">
      <c r="A790" s="68"/>
      <c r="B790" s="68"/>
      <c r="C790" s="68"/>
      <c r="D790" s="69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  <c r="AI790" s="68"/>
      <c r="AJ790" s="68"/>
      <c r="AK790" s="68"/>
      <c r="AL790" s="68"/>
      <c r="AM790" s="68"/>
      <c r="AN790" s="68"/>
      <c r="AO790" s="68"/>
      <c r="AP790" s="68"/>
      <c r="AQ790" s="68"/>
      <c r="AR790" s="68"/>
      <c r="AS790" s="68"/>
      <c r="AT790" s="68"/>
      <c r="AU790" s="68"/>
      <c r="AV790" s="68"/>
      <c r="AW790" s="68"/>
      <c r="AX790" s="68"/>
      <c r="AY790" s="68"/>
      <c r="AZ790" s="68"/>
      <c r="BA790" s="68"/>
      <c r="BB790" s="68"/>
      <c r="BC790" s="68"/>
      <c r="BD790" s="68"/>
      <c r="BE790" s="68"/>
      <c r="BF790" s="68"/>
      <c r="BG790" s="68"/>
      <c r="BH790" s="68"/>
      <c r="BI790" s="68"/>
      <c r="BJ790" s="68"/>
      <c r="BK790" s="68"/>
      <c r="BL790" s="68"/>
      <c r="BM790" s="68"/>
      <c r="BN790" s="68"/>
      <c r="BO790" s="68"/>
      <c r="BP790" s="68"/>
      <c r="BQ790" s="68"/>
      <c r="BR790" s="68"/>
      <c r="BS790" s="68"/>
      <c r="BT790" s="68"/>
      <c r="BU790" s="68"/>
      <c r="BV790" s="68"/>
      <c r="BW790" s="68"/>
      <c r="BX790" s="68"/>
      <c r="BY790" s="68"/>
      <c r="BZ790" s="68"/>
      <c r="CA790" s="68"/>
      <c r="CB790" s="68"/>
      <c r="CC790" s="68"/>
    </row>
    <row r="791" spans="1:81" ht="15.75" x14ac:dyDescent="0.25">
      <c r="A791" s="68"/>
      <c r="B791" s="68"/>
      <c r="C791" s="68"/>
      <c r="D791" s="69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  <c r="AI791" s="68"/>
      <c r="AJ791" s="68"/>
      <c r="AK791" s="68"/>
      <c r="AL791" s="68"/>
      <c r="AM791" s="68"/>
      <c r="AN791" s="68"/>
      <c r="AO791" s="68"/>
      <c r="AP791" s="68"/>
      <c r="AQ791" s="68"/>
      <c r="AR791" s="68"/>
      <c r="AS791" s="68"/>
      <c r="AT791" s="68"/>
      <c r="AU791" s="68"/>
      <c r="AV791" s="68"/>
      <c r="AW791" s="68"/>
      <c r="AX791" s="68"/>
      <c r="AY791" s="68"/>
      <c r="AZ791" s="68"/>
      <c r="BA791" s="68"/>
      <c r="BB791" s="68"/>
      <c r="BC791" s="68"/>
      <c r="BD791" s="68"/>
      <c r="BE791" s="68"/>
      <c r="BF791" s="68"/>
      <c r="BG791" s="68"/>
      <c r="BH791" s="68"/>
      <c r="BI791" s="68"/>
      <c r="BJ791" s="68"/>
      <c r="BK791" s="68"/>
      <c r="BL791" s="68"/>
      <c r="BM791" s="68"/>
      <c r="BN791" s="68"/>
      <c r="BO791" s="68"/>
      <c r="BP791" s="68"/>
      <c r="BQ791" s="68"/>
      <c r="BR791" s="68"/>
      <c r="BS791" s="68"/>
      <c r="BT791" s="68"/>
      <c r="BU791" s="68"/>
      <c r="BV791" s="68"/>
      <c r="BW791" s="68"/>
      <c r="BX791" s="68"/>
      <c r="BY791" s="68"/>
      <c r="BZ791" s="68"/>
      <c r="CA791" s="68"/>
      <c r="CB791" s="68"/>
      <c r="CC791" s="68"/>
    </row>
    <row r="792" spans="1:81" ht="15.75" x14ac:dyDescent="0.25">
      <c r="A792" s="68"/>
      <c r="B792" s="68"/>
      <c r="C792" s="68"/>
      <c r="D792" s="69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  <c r="AI792" s="68"/>
      <c r="AJ792" s="68"/>
      <c r="AK792" s="68"/>
      <c r="AL792" s="68"/>
      <c r="AM792" s="68"/>
      <c r="AN792" s="68"/>
      <c r="AO792" s="68"/>
      <c r="AP792" s="68"/>
      <c r="AQ792" s="68"/>
      <c r="AR792" s="68"/>
      <c r="AS792" s="68"/>
      <c r="AT792" s="68"/>
      <c r="AU792" s="68"/>
      <c r="AV792" s="68"/>
      <c r="AW792" s="68"/>
      <c r="AX792" s="68"/>
      <c r="AY792" s="68"/>
      <c r="AZ792" s="68"/>
      <c r="BA792" s="68"/>
      <c r="BB792" s="68"/>
      <c r="BC792" s="68"/>
      <c r="BD792" s="68"/>
      <c r="BE792" s="68"/>
      <c r="BF792" s="68"/>
      <c r="BG792" s="68"/>
      <c r="BH792" s="68"/>
      <c r="BI792" s="68"/>
      <c r="BJ792" s="68"/>
      <c r="BK792" s="68"/>
      <c r="BL792" s="68"/>
      <c r="BM792" s="68"/>
      <c r="BN792" s="68"/>
      <c r="BO792" s="68"/>
      <c r="BP792" s="68"/>
      <c r="BQ792" s="68"/>
      <c r="BR792" s="68"/>
      <c r="BS792" s="68"/>
      <c r="BT792" s="68"/>
      <c r="BU792" s="68"/>
      <c r="BV792" s="68"/>
      <c r="BW792" s="68"/>
      <c r="BX792" s="68"/>
      <c r="BY792" s="68"/>
      <c r="BZ792" s="68"/>
      <c r="CA792" s="68"/>
      <c r="CB792" s="68"/>
      <c r="CC792" s="68"/>
    </row>
    <row r="793" spans="1:81" ht="15.75" x14ac:dyDescent="0.25">
      <c r="A793" s="68"/>
      <c r="B793" s="68"/>
      <c r="C793" s="68"/>
      <c r="D793" s="69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  <c r="AI793" s="68"/>
      <c r="AJ793" s="68"/>
      <c r="AK793" s="68"/>
      <c r="AL793" s="68"/>
      <c r="AM793" s="68"/>
      <c r="AN793" s="68"/>
      <c r="AO793" s="68"/>
      <c r="AP793" s="68"/>
      <c r="AQ793" s="68"/>
      <c r="AR793" s="68"/>
      <c r="AS793" s="68"/>
      <c r="AT793" s="68"/>
      <c r="AU793" s="68"/>
      <c r="AV793" s="68"/>
      <c r="AW793" s="68"/>
      <c r="AX793" s="68"/>
      <c r="AY793" s="68"/>
      <c r="AZ793" s="68"/>
      <c r="BA793" s="68"/>
      <c r="BB793" s="68"/>
      <c r="BC793" s="68"/>
      <c r="BD793" s="68"/>
      <c r="BE793" s="68"/>
      <c r="BF793" s="68"/>
      <c r="BG793" s="68"/>
      <c r="BH793" s="68"/>
      <c r="BI793" s="68"/>
      <c r="BJ793" s="68"/>
      <c r="BK793" s="68"/>
      <c r="BL793" s="68"/>
      <c r="BM793" s="68"/>
      <c r="BN793" s="68"/>
      <c r="BO793" s="68"/>
      <c r="BP793" s="68"/>
      <c r="BQ793" s="68"/>
      <c r="BR793" s="68"/>
      <c r="BS793" s="68"/>
      <c r="BT793" s="68"/>
      <c r="BU793" s="68"/>
      <c r="BV793" s="68"/>
      <c r="BW793" s="68"/>
      <c r="BX793" s="68"/>
      <c r="BY793" s="68"/>
      <c r="BZ793" s="68"/>
      <c r="CA793" s="68"/>
      <c r="CB793" s="68"/>
      <c r="CC793" s="68"/>
    </row>
    <row r="794" spans="1:81" ht="15.75" x14ac:dyDescent="0.25">
      <c r="A794" s="68"/>
      <c r="B794" s="68"/>
      <c r="C794" s="68"/>
      <c r="D794" s="69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  <c r="AJ794" s="68"/>
      <c r="AK794" s="68"/>
      <c r="AL794" s="68"/>
      <c r="AM794" s="68"/>
      <c r="AN794" s="68"/>
      <c r="AO794" s="68"/>
      <c r="AP794" s="68"/>
      <c r="AQ794" s="68"/>
      <c r="AR794" s="68"/>
      <c r="AS794" s="68"/>
      <c r="AT794" s="68"/>
      <c r="AU794" s="68"/>
      <c r="AV794" s="68"/>
      <c r="AW794" s="68"/>
      <c r="AX794" s="68"/>
      <c r="AY794" s="68"/>
      <c r="AZ794" s="68"/>
      <c r="BA794" s="68"/>
      <c r="BB794" s="68"/>
      <c r="BC794" s="68"/>
      <c r="BD794" s="68"/>
      <c r="BE794" s="68"/>
      <c r="BF794" s="68"/>
      <c r="BG794" s="68"/>
      <c r="BH794" s="68"/>
      <c r="BI794" s="68"/>
      <c r="BJ794" s="68"/>
      <c r="BK794" s="68"/>
      <c r="BL794" s="68"/>
      <c r="BM794" s="68"/>
      <c r="BN794" s="68"/>
      <c r="BO794" s="68"/>
      <c r="BP794" s="68"/>
      <c r="BQ794" s="68"/>
      <c r="BR794" s="68"/>
      <c r="BS794" s="68"/>
      <c r="BT794" s="68"/>
      <c r="BU794" s="68"/>
      <c r="BV794" s="68"/>
      <c r="BW794" s="68"/>
      <c r="BX794" s="68"/>
      <c r="BY794" s="68"/>
      <c r="BZ794" s="68"/>
      <c r="CA794" s="68"/>
      <c r="CB794" s="68"/>
      <c r="CC794" s="68"/>
    </row>
    <row r="795" spans="1:81" ht="15.75" x14ac:dyDescent="0.25">
      <c r="A795" s="68"/>
      <c r="B795" s="68"/>
      <c r="C795" s="68"/>
      <c r="D795" s="69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  <c r="AI795" s="68"/>
      <c r="AJ795" s="68"/>
      <c r="AK795" s="68"/>
      <c r="AL795" s="68"/>
      <c r="AM795" s="68"/>
      <c r="AN795" s="68"/>
      <c r="AO795" s="68"/>
      <c r="AP795" s="68"/>
      <c r="AQ795" s="68"/>
      <c r="AR795" s="68"/>
      <c r="AS795" s="68"/>
      <c r="AT795" s="68"/>
      <c r="AU795" s="68"/>
      <c r="AV795" s="68"/>
      <c r="AW795" s="68"/>
      <c r="AX795" s="68"/>
      <c r="AY795" s="68"/>
      <c r="AZ795" s="68"/>
      <c r="BA795" s="68"/>
      <c r="BB795" s="68"/>
      <c r="BC795" s="68"/>
      <c r="BD795" s="68"/>
      <c r="BE795" s="68"/>
      <c r="BF795" s="68"/>
      <c r="BG795" s="68"/>
      <c r="BH795" s="68"/>
      <c r="BI795" s="68"/>
      <c r="BJ795" s="68"/>
      <c r="BK795" s="68"/>
      <c r="BL795" s="68"/>
      <c r="BM795" s="68"/>
      <c r="BN795" s="68"/>
      <c r="BO795" s="68"/>
      <c r="BP795" s="68"/>
      <c r="BQ795" s="68"/>
      <c r="BR795" s="68"/>
      <c r="BS795" s="68"/>
      <c r="BT795" s="68"/>
      <c r="BU795" s="68"/>
      <c r="BV795" s="68"/>
      <c r="BW795" s="68"/>
      <c r="BX795" s="68"/>
      <c r="BY795" s="68"/>
      <c r="BZ795" s="68"/>
      <c r="CA795" s="68"/>
      <c r="CB795" s="68"/>
      <c r="CC795" s="68"/>
    </row>
    <row r="796" spans="1:81" ht="15.75" x14ac:dyDescent="0.25">
      <c r="A796" s="68"/>
      <c r="B796" s="68"/>
      <c r="C796" s="68"/>
      <c r="D796" s="69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  <c r="AI796" s="68"/>
      <c r="AJ796" s="68"/>
      <c r="AK796" s="68"/>
      <c r="AL796" s="68"/>
      <c r="AM796" s="68"/>
      <c r="AN796" s="68"/>
      <c r="AO796" s="68"/>
      <c r="AP796" s="68"/>
      <c r="AQ796" s="68"/>
      <c r="AR796" s="68"/>
      <c r="AS796" s="68"/>
      <c r="AT796" s="68"/>
      <c r="AU796" s="68"/>
      <c r="AV796" s="68"/>
      <c r="AW796" s="68"/>
      <c r="AX796" s="68"/>
      <c r="AY796" s="68"/>
      <c r="AZ796" s="68"/>
      <c r="BA796" s="68"/>
      <c r="BB796" s="68"/>
      <c r="BC796" s="68"/>
      <c r="BD796" s="68"/>
      <c r="BE796" s="68"/>
      <c r="BF796" s="68"/>
      <c r="BG796" s="68"/>
      <c r="BH796" s="68"/>
      <c r="BI796" s="68"/>
      <c r="BJ796" s="68"/>
      <c r="BK796" s="68"/>
      <c r="BL796" s="68"/>
      <c r="BM796" s="68"/>
      <c r="BN796" s="68"/>
      <c r="BO796" s="68"/>
      <c r="BP796" s="68"/>
      <c r="BQ796" s="68"/>
      <c r="BR796" s="68"/>
      <c r="BS796" s="68"/>
      <c r="BT796" s="68"/>
      <c r="BU796" s="68"/>
      <c r="BV796" s="68"/>
      <c r="BW796" s="68"/>
      <c r="BX796" s="68"/>
      <c r="BY796" s="68"/>
      <c r="BZ796" s="68"/>
      <c r="CA796" s="68"/>
      <c r="CB796" s="68"/>
      <c r="CC796" s="68"/>
    </row>
    <row r="797" spans="1:81" ht="15.75" x14ac:dyDescent="0.25">
      <c r="A797" s="68"/>
      <c r="B797" s="68"/>
      <c r="C797" s="68"/>
      <c r="D797" s="69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  <c r="AJ797" s="68"/>
      <c r="AK797" s="68"/>
      <c r="AL797" s="68"/>
      <c r="AM797" s="68"/>
      <c r="AN797" s="68"/>
      <c r="AO797" s="68"/>
      <c r="AP797" s="68"/>
      <c r="AQ797" s="68"/>
      <c r="AR797" s="68"/>
      <c r="AS797" s="68"/>
      <c r="AT797" s="68"/>
      <c r="AU797" s="68"/>
      <c r="AV797" s="68"/>
      <c r="AW797" s="68"/>
      <c r="AX797" s="68"/>
      <c r="AY797" s="68"/>
      <c r="AZ797" s="68"/>
      <c r="BA797" s="68"/>
      <c r="BB797" s="68"/>
      <c r="BC797" s="68"/>
      <c r="BD797" s="68"/>
      <c r="BE797" s="68"/>
      <c r="BF797" s="68"/>
      <c r="BG797" s="68"/>
      <c r="BH797" s="68"/>
      <c r="BI797" s="68"/>
      <c r="BJ797" s="68"/>
      <c r="BK797" s="68"/>
      <c r="BL797" s="68"/>
      <c r="BM797" s="68"/>
      <c r="BN797" s="68"/>
      <c r="BO797" s="68"/>
      <c r="BP797" s="68"/>
      <c r="BQ797" s="68"/>
      <c r="BR797" s="68"/>
      <c r="BS797" s="68"/>
      <c r="BT797" s="68"/>
      <c r="BU797" s="68"/>
      <c r="BV797" s="68"/>
      <c r="BW797" s="68"/>
      <c r="BX797" s="68"/>
      <c r="BY797" s="68"/>
      <c r="BZ797" s="68"/>
      <c r="CA797" s="68"/>
      <c r="CB797" s="68"/>
      <c r="CC797" s="68"/>
    </row>
    <row r="798" spans="1:81" ht="15.75" x14ac:dyDescent="0.25">
      <c r="A798" s="68"/>
      <c r="B798" s="68"/>
      <c r="C798" s="68"/>
      <c r="D798" s="69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  <c r="AI798" s="68"/>
      <c r="AJ798" s="68"/>
      <c r="AK798" s="68"/>
      <c r="AL798" s="68"/>
      <c r="AM798" s="68"/>
      <c r="AN798" s="68"/>
      <c r="AO798" s="68"/>
      <c r="AP798" s="68"/>
      <c r="AQ798" s="68"/>
      <c r="AR798" s="68"/>
      <c r="AS798" s="68"/>
      <c r="AT798" s="68"/>
      <c r="AU798" s="68"/>
      <c r="AV798" s="68"/>
      <c r="AW798" s="68"/>
      <c r="AX798" s="68"/>
      <c r="AY798" s="68"/>
      <c r="AZ798" s="68"/>
      <c r="BA798" s="68"/>
      <c r="BB798" s="68"/>
      <c r="BC798" s="68"/>
      <c r="BD798" s="68"/>
      <c r="BE798" s="68"/>
      <c r="BF798" s="68"/>
      <c r="BG798" s="68"/>
      <c r="BH798" s="68"/>
      <c r="BI798" s="68"/>
      <c r="BJ798" s="68"/>
      <c r="BK798" s="68"/>
      <c r="BL798" s="68"/>
      <c r="BM798" s="68"/>
      <c r="BN798" s="68"/>
      <c r="BO798" s="68"/>
      <c r="BP798" s="68"/>
      <c r="BQ798" s="68"/>
      <c r="BR798" s="68"/>
      <c r="BS798" s="68"/>
      <c r="BT798" s="68"/>
      <c r="BU798" s="68"/>
      <c r="BV798" s="68"/>
      <c r="BW798" s="68"/>
      <c r="BX798" s="68"/>
      <c r="BY798" s="68"/>
      <c r="BZ798" s="68"/>
      <c r="CA798" s="68"/>
      <c r="CB798" s="68"/>
      <c r="CC798" s="68"/>
    </row>
    <row r="799" spans="1:81" ht="15.75" x14ac:dyDescent="0.25">
      <c r="A799" s="68"/>
      <c r="B799" s="68"/>
      <c r="C799" s="68"/>
      <c r="D799" s="69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  <c r="AI799" s="68"/>
      <c r="AJ799" s="68"/>
      <c r="AK799" s="68"/>
      <c r="AL799" s="68"/>
      <c r="AM799" s="68"/>
      <c r="AN799" s="68"/>
      <c r="AO799" s="68"/>
      <c r="AP799" s="68"/>
      <c r="AQ799" s="68"/>
      <c r="AR799" s="68"/>
      <c r="AS799" s="68"/>
      <c r="AT799" s="68"/>
      <c r="AU799" s="68"/>
      <c r="AV799" s="68"/>
      <c r="AW799" s="68"/>
      <c r="AX799" s="68"/>
      <c r="AY799" s="68"/>
      <c r="AZ799" s="68"/>
      <c r="BA799" s="68"/>
      <c r="BB799" s="68"/>
      <c r="BC799" s="68"/>
      <c r="BD799" s="68"/>
      <c r="BE799" s="68"/>
      <c r="BF799" s="68"/>
      <c r="BG799" s="68"/>
      <c r="BH799" s="68"/>
      <c r="BI799" s="68"/>
      <c r="BJ799" s="68"/>
      <c r="BK799" s="68"/>
      <c r="BL799" s="68"/>
      <c r="BM799" s="68"/>
      <c r="BN799" s="68"/>
      <c r="BO799" s="68"/>
      <c r="BP799" s="68"/>
      <c r="BQ799" s="68"/>
      <c r="BR799" s="68"/>
      <c r="BS799" s="68"/>
      <c r="BT799" s="68"/>
      <c r="BU799" s="68"/>
      <c r="BV799" s="68"/>
      <c r="BW799" s="68"/>
      <c r="BX799" s="68"/>
      <c r="BY799" s="68"/>
      <c r="BZ799" s="68"/>
      <c r="CA799" s="68"/>
      <c r="CB799" s="68"/>
      <c r="CC799" s="68"/>
    </row>
    <row r="800" spans="1:81" ht="15.75" x14ac:dyDescent="0.25">
      <c r="A800" s="68"/>
      <c r="B800" s="68"/>
      <c r="C800" s="68"/>
      <c r="D800" s="69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  <c r="AI800" s="68"/>
      <c r="AJ800" s="68"/>
      <c r="AK800" s="68"/>
      <c r="AL800" s="68"/>
      <c r="AM800" s="68"/>
      <c r="AN800" s="68"/>
      <c r="AO800" s="68"/>
      <c r="AP800" s="68"/>
      <c r="AQ800" s="68"/>
      <c r="AR800" s="68"/>
      <c r="AS800" s="68"/>
      <c r="AT800" s="68"/>
      <c r="AU800" s="68"/>
      <c r="AV800" s="68"/>
      <c r="AW800" s="68"/>
      <c r="AX800" s="68"/>
      <c r="AY800" s="68"/>
      <c r="AZ800" s="68"/>
      <c r="BA800" s="68"/>
      <c r="BB800" s="68"/>
      <c r="BC800" s="68"/>
      <c r="BD800" s="68"/>
      <c r="BE800" s="68"/>
      <c r="BF800" s="68"/>
      <c r="BG800" s="68"/>
      <c r="BH800" s="68"/>
      <c r="BI800" s="68"/>
      <c r="BJ800" s="68"/>
      <c r="BK800" s="68"/>
      <c r="BL800" s="68"/>
      <c r="BM800" s="68"/>
      <c r="BN800" s="68"/>
      <c r="BO800" s="68"/>
      <c r="BP800" s="68"/>
      <c r="BQ800" s="68"/>
      <c r="BR800" s="68"/>
      <c r="BS800" s="68"/>
      <c r="BT800" s="68"/>
      <c r="BU800" s="68"/>
      <c r="BV800" s="68"/>
      <c r="BW800" s="68"/>
      <c r="BX800" s="68"/>
      <c r="BY800" s="68"/>
      <c r="BZ800" s="68"/>
      <c r="CA800" s="68"/>
      <c r="CB800" s="68"/>
      <c r="CC800" s="68"/>
    </row>
    <row r="801" spans="1:81" ht="15.75" x14ac:dyDescent="0.25">
      <c r="A801" s="68"/>
      <c r="B801" s="68"/>
      <c r="C801" s="68"/>
      <c r="D801" s="69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  <c r="AI801" s="68"/>
      <c r="AJ801" s="68"/>
      <c r="AK801" s="68"/>
      <c r="AL801" s="68"/>
      <c r="AM801" s="68"/>
      <c r="AN801" s="68"/>
      <c r="AO801" s="68"/>
      <c r="AP801" s="68"/>
      <c r="AQ801" s="68"/>
      <c r="AR801" s="68"/>
      <c r="AS801" s="68"/>
      <c r="AT801" s="68"/>
      <c r="AU801" s="68"/>
      <c r="AV801" s="68"/>
      <c r="AW801" s="68"/>
      <c r="AX801" s="68"/>
      <c r="AY801" s="68"/>
      <c r="AZ801" s="68"/>
      <c r="BA801" s="68"/>
      <c r="BB801" s="68"/>
      <c r="BC801" s="68"/>
      <c r="BD801" s="68"/>
      <c r="BE801" s="68"/>
      <c r="BF801" s="68"/>
      <c r="BG801" s="68"/>
      <c r="BH801" s="68"/>
      <c r="BI801" s="68"/>
      <c r="BJ801" s="68"/>
      <c r="BK801" s="68"/>
      <c r="BL801" s="68"/>
      <c r="BM801" s="68"/>
      <c r="BN801" s="68"/>
      <c r="BO801" s="68"/>
      <c r="BP801" s="68"/>
      <c r="BQ801" s="68"/>
      <c r="BR801" s="68"/>
      <c r="BS801" s="68"/>
      <c r="BT801" s="68"/>
      <c r="BU801" s="68"/>
      <c r="BV801" s="68"/>
      <c r="BW801" s="68"/>
      <c r="BX801" s="68"/>
      <c r="BY801" s="68"/>
      <c r="BZ801" s="68"/>
      <c r="CA801" s="68"/>
      <c r="CB801" s="68"/>
      <c r="CC801" s="68"/>
    </row>
    <row r="802" spans="1:81" ht="15.75" x14ac:dyDescent="0.25">
      <c r="A802" s="68"/>
      <c r="B802" s="68"/>
      <c r="C802" s="68"/>
      <c r="D802" s="69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  <c r="AD802" s="68"/>
      <c r="AE802" s="68"/>
      <c r="AF802" s="68"/>
      <c r="AG802" s="68"/>
      <c r="AH802" s="68"/>
      <c r="AI802" s="68"/>
      <c r="AJ802" s="68"/>
      <c r="AK802" s="68"/>
      <c r="AL802" s="68"/>
      <c r="AM802" s="68"/>
      <c r="AN802" s="68"/>
      <c r="AO802" s="68"/>
      <c r="AP802" s="68"/>
      <c r="AQ802" s="68"/>
      <c r="AR802" s="68"/>
      <c r="AS802" s="68"/>
      <c r="AT802" s="68"/>
      <c r="AU802" s="68"/>
      <c r="AV802" s="68"/>
      <c r="AW802" s="68"/>
      <c r="AX802" s="68"/>
      <c r="AY802" s="68"/>
      <c r="AZ802" s="68"/>
      <c r="BA802" s="68"/>
      <c r="BB802" s="68"/>
      <c r="BC802" s="68"/>
      <c r="BD802" s="68"/>
      <c r="BE802" s="68"/>
      <c r="BF802" s="68"/>
      <c r="BG802" s="68"/>
      <c r="BH802" s="68"/>
      <c r="BI802" s="68"/>
      <c r="BJ802" s="68"/>
      <c r="BK802" s="68"/>
      <c r="BL802" s="68"/>
      <c r="BM802" s="68"/>
      <c r="BN802" s="68"/>
      <c r="BO802" s="68"/>
      <c r="BP802" s="68"/>
      <c r="BQ802" s="68"/>
      <c r="BR802" s="68"/>
      <c r="BS802" s="68"/>
      <c r="BT802" s="68"/>
      <c r="BU802" s="68"/>
      <c r="BV802" s="68"/>
      <c r="BW802" s="68"/>
      <c r="BX802" s="68"/>
      <c r="BY802" s="68"/>
      <c r="BZ802" s="68"/>
      <c r="CA802" s="68"/>
      <c r="CB802" s="68"/>
      <c r="CC802" s="68"/>
    </row>
    <row r="803" spans="1:81" ht="15.75" x14ac:dyDescent="0.25">
      <c r="A803" s="68"/>
      <c r="B803" s="68"/>
      <c r="C803" s="68"/>
      <c r="D803" s="69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  <c r="AI803" s="68"/>
      <c r="AJ803" s="68"/>
      <c r="AK803" s="68"/>
      <c r="AL803" s="68"/>
      <c r="AM803" s="68"/>
      <c r="AN803" s="68"/>
      <c r="AO803" s="68"/>
      <c r="AP803" s="68"/>
      <c r="AQ803" s="68"/>
      <c r="AR803" s="68"/>
      <c r="AS803" s="68"/>
      <c r="AT803" s="68"/>
      <c r="AU803" s="68"/>
      <c r="AV803" s="68"/>
      <c r="AW803" s="68"/>
      <c r="AX803" s="68"/>
      <c r="AY803" s="68"/>
      <c r="AZ803" s="68"/>
      <c r="BA803" s="68"/>
      <c r="BB803" s="68"/>
      <c r="BC803" s="68"/>
      <c r="BD803" s="68"/>
      <c r="BE803" s="68"/>
      <c r="BF803" s="68"/>
      <c r="BG803" s="68"/>
      <c r="BH803" s="68"/>
      <c r="BI803" s="68"/>
      <c r="BJ803" s="68"/>
      <c r="BK803" s="68"/>
      <c r="BL803" s="68"/>
      <c r="BM803" s="68"/>
      <c r="BN803" s="68"/>
      <c r="BO803" s="68"/>
      <c r="BP803" s="68"/>
      <c r="BQ803" s="68"/>
      <c r="BR803" s="68"/>
      <c r="BS803" s="68"/>
      <c r="BT803" s="68"/>
      <c r="BU803" s="68"/>
      <c r="BV803" s="68"/>
      <c r="BW803" s="68"/>
      <c r="BX803" s="68"/>
      <c r="BY803" s="68"/>
      <c r="BZ803" s="68"/>
      <c r="CA803" s="68"/>
      <c r="CB803" s="68"/>
      <c r="CC803" s="68"/>
    </row>
    <row r="804" spans="1:81" ht="15.75" x14ac:dyDescent="0.25">
      <c r="A804" s="68"/>
      <c r="B804" s="68"/>
      <c r="C804" s="68"/>
      <c r="D804" s="69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  <c r="AI804" s="68"/>
      <c r="AJ804" s="68"/>
      <c r="AK804" s="68"/>
      <c r="AL804" s="68"/>
      <c r="AM804" s="68"/>
      <c r="AN804" s="68"/>
      <c r="AO804" s="68"/>
      <c r="AP804" s="68"/>
      <c r="AQ804" s="68"/>
      <c r="AR804" s="68"/>
      <c r="AS804" s="68"/>
      <c r="AT804" s="68"/>
      <c r="AU804" s="68"/>
      <c r="AV804" s="68"/>
      <c r="AW804" s="68"/>
      <c r="AX804" s="68"/>
      <c r="AY804" s="68"/>
      <c r="AZ804" s="68"/>
      <c r="BA804" s="68"/>
      <c r="BB804" s="68"/>
      <c r="BC804" s="68"/>
      <c r="BD804" s="68"/>
      <c r="BE804" s="68"/>
      <c r="BF804" s="68"/>
      <c r="BG804" s="68"/>
      <c r="BH804" s="68"/>
      <c r="BI804" s="68"/>
      <c r="BJ804" s="68"/>
      <c r="BK804" s="68"/>
      <c r="BL804" s="68"/>
      <c r="BM804" s="68"/>
      <c r="BN804" s="68"/>
      <c r="BO804" s="68"/>
      <c r="BP804" s="68"/>
      <c r="BQ804" s="68"/>
      <c r="BR804" s="68"/>
      <c r="BS804" s="68"/>
      <c r="BT804" s="68"/>
      <c r="BU804" s="68"/>
      <c r="BV804" s="68"/>
      <c r="BW804" s="68"/>
      <c r="BX804" s="68"/>
      <c r="BY804" s="68"/>
      <c r="BZ804" s="68"/>
      <c r="CA804" s="68"/>
      <c r="CB804" s="68"/>
      <c r="CC804" s="68"/>
    </row>
    <row r="805" spans="1:81" ht="15.75" x14ac:dyDescent="0.25">
      <c r="A805" s="68"/>
      <c r="B805" s="68"/>
      <c r="C805" s="68"/>
      <c r="D805" s="69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  <c r="AI805" s="68"/>
      <c r="AJ805" s="68"/>
      <c r="AK805" s="68"/>
      <c r="AL805" s="68"/>
      <c r="AM805" s="68"/>
      <c r="AN805" s="68"/>
      <c r="AO805" s="68"/>
      <c r="AP805" s="68"/>
      <c r="AQ805" s="68"/>
      <c r="AR805" s="68"/>
      <c r="AS805" s="68"/>
      <c r="AT805" s="68"/>
      <c r="AU805" s="68"/>
      <c r="AV805" s="68"/>
      <c r="AW805" s="68"/>
      <c r="AX805" s="68"/>
      <c r="AY805" s="68"/>
      <c r="AZ805" s="68"/>
      <c r="BA805" s="68"/>
      <c r="BB805" s="68"/>
      <c r="BC805" s="68"/>
      <c r="BD805" s="68"/>
      <c r="BE805" s="68"/>
      <c r="BF805" s="68"/>
      <c r="BG805" s="68"/>
      <c r="BH805" s="68"/>
      <c r="BI805" s="68"/>
      <c r="BJ805" s="68"/>
      <c r="BK805" s="68"/>
      <c r="BL805" s="68"/>
      <c r="BM805" s="68"/>
      <c r="BN805" s="68"/>
      <c r="BO805" s="68"/>
      <c r="BP805" s="68"/>
      <c r="BQ805" s="68"/>
      <c r="BR805" s="68"/>
      <c r="BS805" s="68"/>
      <c r="BT805" s="68"/>
      <c r="BU805" s="68"/>
      <c r="BV805" s="68"/>
      <c r="BW805" s="68"/>
      <c r="BX805" s="68"/>
      <c r="BY805" s="68"/>
      <c r="BZ805" s="68"/>
      <c r="CA805" s="68"/>
      <c r="CB805" s="68"/>
      <c r="CC805" s="68"/>
    </row>
    <row r="806" spans="1:81" ht="15.75" x14ac:dyDescent="0.25">
      <c r="A806" s="68"/>
      <c r="B806" s="68"/>
      <c r="C806" s="68"/>
      <c r="D806" s="69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  <c r="AI806" s="68"/>
      <c r="AJ806" s="68"/>
      <c r="AK806" s="68"/>
      <c r="AL806" s="68"/>
      <c r="AM806" s="68"/>
      <c r="AN806" s="68"/>
      <c r="AO806" s="68"/>
      <c r="AP806" s="68"/>
      <c r="AQ806" s="68"/>
      <c r="AR806" s="68"/>
      <c r="AS806" s="68"/>
      <c r="AT806" s="68"/>
      <c r="AU806" s="68"/>
      <c r="AV806" s="68"/>
      <c r="AW806" s="68"/>
      <c r="AX806" s="68"/>
      <c r="AY806" s="68"/>
      <c r="AZ806" s="68"/>
      <c r="BA806" s="68"/>
      <c r="BB806" s="68"/>
      <c r="BC806" s="68"/>
      <c r="BD806" s="68"/>
      <c r="BE806" s="68"/>
      <c r="BF806" s="68"/>
      <c r="BG806" s="68"/>
      <c r="BH806" s="68"/>
      <c r="BI806" s="68"/>
      <c r="BJ806" s="68"/>
      <c r="BK806" s="68"/>
      <c r="BL806" s="68"/>
      <c r="BM806" s="68"/>
      <c r="BN806" s="68"/>
      <c r="BO806" s="68"/>
      <c r="BP806" s="68"/>
      <c r="BQ806" s="68"/>
      <c r="BR806" s="68"/>
      <c r="BS806" s="68"/>
      <c r="BT806" s="68"/>
      <c r="BU806" s="68"/>
      <c r="BV806" s="68"/>
      <c r="BW806" s="68"/>
      <c r="BX806" s="68"/>
      <c r="BY806" s="68"/>
      <c r="BZ806" s="68"/>
      <c r="CA806" s="68"/>
      <c r="CB806" s="68"/>
      <c r="CC806" s="68"/>
    </row>
    <row r="807" spans="1:81" ht="15.75" x14ac:dyDescent="0.25">
      <c r="A807" s="68"/>
      <c r="B807" s="68"/>
      <c r="C807" s="68"/>
      <c r="D807" s="69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  <c r="AI807" s="68"/>
      <c r="AJ807" s="68"/>
      <c r="AK807" s="68"/>
      <c r="AL807" s="68"/>
      <c r="AM807" s="68"/>
      <c r="AN807" s="68"/>
      <c r="AO807" s="68"/>
      <c r="AP807" s="68"/>
      <c r="AQ807" s="68"/>
      <c r="AR807" s="68"/>
      <c r="AS807" s="68"/>
      <c r="AT807" s="68"/>
      <c r="AU807" s="68"/>
      <c r="AV807" s="68"/>
      <c r="AW807" s="68"/>
      <c r="AX807" s="68"/>
      <c r="AY807" s="68"/>
      <c r="AZ807" s="68"/>
      <c r="BA807" s="68"/>
      <c r="BB807" s="68"/>
      <c r="BC807" s="68"/>
      <c r="BD807" s="68"/>
      <c r="BE807" s="68"/>
      <c r="BF807" s="68"/>
      <c r="BG807" s="68"/>
      <c r="BH807" s="68"/>
      <c r="BI807" s="68"/>
      <c r="BJ807" s="68"/>
      <c r="BK807" s="68"/>
      <c r="BL807" s="68"/>
      <c r="BM807" s="68"/>
      <c r="BN807" s="68"/>
      <c r="BO807" s="68"/>
      <c r="BP807" s="68"/>
      <c r="BQ807" s="68"/>
      <c r="BR807" s="68"/>
      <c r="BS807" s="68"/>
      <c r="BT807" s="68"/>
      <c r="BU807" s="68"/>
      <c r="BV807" s="68"/>
      <c r="BW807" s="68"/>
      <c r="BX807" s="68"/>
      <c r="BY807" s="68"/>
      <c r="BZ807" s="68"/>
      <c r="CA807" s="68"/>
      <c r="CB807" s="68"/>
      <c r="CC807" s="68"/>
    </row>
    <row r="808" spans="1:81" ht="15.75" x14ac:dyDescent="0.25">
      <c r="A808" s="68"/>
      <c r="B808" s="68"/>
      <c r="C808" s="68"/>
      <c r="D808" s="69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  <c r="AI808" s="68"/>
      <c r="AJ808" s="68"/>
      <c r="AK808" s="68"/>
      <c r="AL808" s="68"/>
      <c r="AM808" s="68"/>
      <c r="AN808" s="68"/>
      <c r="AO808" s="68"/>
      <c r="AP808" s="68"/>
      <c r="AQ808" s="68"/>
      <c r="AR808" s="68"/>
      <c r="AS808" s="68"/>
      <c r="AT808" s="68"/>
      <c r="AU808" s="68"/>
      <c r="AV808" s="68"/>
      <c r="AW808" s="68"/>
      <c r="AX808" s="68"/>
      <c r="AY808" s="68"/>
      <c r="AZ808" s="68"/>
      <c r="BA808" s="68"/>
      <c r="BB808" s="68"/>
      <c r="BC808" s="68"/>
      <c r="BD808" s="68"/>
      <c r="BE808" s="68"/>
      <c r="BF808" s="68"/>
      <c r="BG808" s="68"/>
      <c r="BH808" s="68"/>
      <c r="BI808" s="68"/>
      <c r="BJ808" s="68"/>
      <c r="BK808" s="68"/>
      <c r="BL808" s="68"/>
      <c r="BM808" s="68"/>
      <c r="BN808" s="68"/>
      <c r="BO808" s="68"/>
      <c r="BP808" s="68"/>
      <c r="BQ808" s="68"/>
      <c r="BR808" s="68"/>
      <c r="BS808" s="68"/>
      <c r="BT808" s="68"/>
      <c r="BU808" s="68"/>
      <c r="BV808" s="68"/>
      <c r="BW808" s="68"/>
      <c r="BX808" s="68"/>
      <c r="BY808" s="68"/>
      <c r="BZ808" s="68"/>
      <c r="CA808" s="68"/>
      <c r="CB808" s="68"/>
      <c r="CC808" s="68"/>
    </row>
    <row r="809" spans="1:81" ht="15.75" x14ac:dyDescent="0.25">
      <c r="A809" s="68"/>
      <c r="B809" s="68"/>
      <c r="C809" s="68"/>
      <c r="D809" s="69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  <c r="AI809" s="68"/>
      <c r="AJ809" s="68"/>
      <c r="AK809" s="68"/>
      <c r="AL809" s="68"/>
      <c r="AM809" s="68"/>
      <c r="AN809" s="68"/>
      <c r="AO809" s="68"/>
      <c r="AP809" s="68"/>
      <c r="AQ809" s="68"/>
      <c r="AR809" s="68"/>
      <c r="AS809" s="68"/>
      <c r="AT809" s="68"/>
      <c r="AU809" s="68"/>
      <c r="AV809" s="68"/>
      <c r="AW809" s="68"/>
      <c r="AX809" s="68"/>
      <c r="AY809" s="68"/>
      <c r="AZ809" s="68"/>
      <c r="BA809" s="68"/>
      <c r="BB809" s="68"/>
      <c r="BC809" s="68"/>
      <c r="BD809" s="68"/>
      <c r="BE809" s="68"/>
      <c r="BF809" s="68"/>
      <c r="BG809" s="68"/>
      <c r="BH809" s="68"/>
      <c r="BI809" s="68"/>
      <c r="BJ809" s="68"/>
      <c r="BK809" s="68"/>
      <c r="BL809" s="68"/>
      <c r="BM809" s="68"/>
      <c r="BN809" s="68"/>
      <c r="BO809" s="68"/>
      <c r="BP809" s="68"/>
      <c r="BQ809" s="68"/>
      <c r="BR809" s="68"/>
      <c r="BS809" s="68"/>
      <c r="BT809" s="68"/>
      <c r="BU809" s="68"/>
      <c r="BV809" s="68"/>
      <c r="BW809" s="68"/>
      <c r="BX809" s="68"/>
      <c r="BY809" s="68"/>
      <c r="BZ809" s="68"/>
      <c r="CA809" s="68"/>
      <c r="CB809" s="68"/>
      <c r="CC809" s="68"/>
    </row>
    <row r="810" spans="1:81" ht="15.75" x14ac:dyDescent="0.25">
      <c r="A810" s="68"/>
      <c r="B810" s="68"/>
      <c r="C810" s="68"/>
      <c r="D810" s="69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  <c r="AI810" s="68"/>
      <c r="AJ810" s="68"/>
      <c r="AK810" s="68"/>
      <c r="AL810" s="68"/>
      <c r="AM810" s="68"/>
      <c r="AN810" s="68"/>
      <c r="AO810" s="68"/>
      <c r="AP810" s="68"/>
      <c r="AQ810" s="68"/>
      <c r="AR810" s="68"/>
      <c r="AS810" s="68"/>
      <c r="AT810" s="68"/>
      <c r="AU810" s="68"/>
      <c r="AV810" s="68"/>
      <c r="AW810" s="68"/>
      <c r="AX810" s="68"/>
      <c r="AY810" s="68"/>
      <c r="AZ810" s="68"/>
      <c r="BA810" s="68"/>
      <c r="BB810" s="68"/>
      <c r="BC810" s="68"/>
      <c r="BD810" s="68"/>
      <c r="BE810" s="68"/>
      <c r="BF810" s="68"/>
      <c r="BG810" s="68"/>
      <c r="BH810" s="68"/>
      <c r="BI810" s="68"/>
      <c r="BJ810" s="68"/>
      <c r="BK810" s="68"/>
      <c r="BL810" s="68"/>
      <c r="BM810" s="68"/>
      <c r="BN810" s="68"/>
      <c r="BO810" s="68"/>
      <c r="BP810" s="68"/>
      <c r="BQ810" s="68"/>
      <c r="BR810" s="68"/>
      <c r="BS810" s="68"/>
      <c r="BT810" s="68"/>
      <c r="BU810" s="68"/>
      <c r="BV810" s="68"/>
      <c r="BW810" s="68"/>
      <c r="BX810" s="68"/>
      <c r="BY810" s="68"/>
      <c r="BZ810" s="68"/>
      <c r="CA810" s="68"/>
      <c r="CB810" s="68"/>
      <c r="CC810" s="68"/>
    </row>
    <row r="811" spans="1:81" ht="15.75" x14ac:dyDescent="0.25">
      <c r="A811" s="68"/>
      <c r="B811" s="68"/>
      <c r="C811" s="68"/>
      <c r="D811" s="69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  <c r="AI811" s="68"/>
      <c r="AJ811" s="68"/>
      <c r="AK811" s="68"/>
      <c r="AL811" s="68"/>
      <c r="AM811" s="68"/>
      <c r="AN811" s="68"/>
      <c r="AO811" s="68"/>
      <c r="AP811" s="68"/>
      <c r="AQ811" s="68"/>
      <c r="AR811" s="68"/>
      <c r="AS811" s="68"/>
      <c r="AT811" s="68"/>
      <c r="AU811" s="68"/>
      <c r="AV811" s="68"/>
      <c r="AW811" s="68"/>
      <c r="AX811" s="68"/>
      <c r="AY811" s="68"/>
      <c r="AZ811" s="68"/>
      <c r="BA811" s="68"/>
      <c r="BB811" s="68"/>
      <c r="BC811" s="68"/>
      <c r="BD811" s="68"/>
      <c r="BE811" s="68"/>
      <c r="BF811" s="68"/>
      <c r="BG811" s="68"/>
      <c r="BH811" s="68"/>
      <c r="BI811" s="68"/>
      <c r="BJ811" s="68"/>
      <c r="BK811" s="68"/>
      <c r="BL811" s="68"/>
      <c r="BM811" s="68"/>
      <c r="BN811" s="68"/>
      <c r="BO811" s="68"/>
      <c r="BP811" s="68"/>
      <c r="BQ811" s="68"/>
      <c r="BR811" s="68"/>
      <c r="BS811" s="68"/>
      <c r="BT811" s="68"/>
      <c r="BU811" s="68"/>
      <c r="BV811" s="68"/>
      <c r="BW811" s="68"/>
      <c r="BX811" s="68"/>
      <c r="BY811" s="68"/>
      <c r="BZ811" s="68"/>
      <c r="CA811" s="68"/>
      <c r="CB811" s="68"/>
      <c r="CC811" s="68"/>
    </row>
    <row r="812" spans="1:81" ht="15.75" x14ac:dyDescent="0.25">
      <c r="A812" s="68"/>
      <c r="B812" s="68"/>
      <c r="C812" s="68"/>
      <c r="D812" s="69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  <c r="AI812" s="68"/>
      <c r="AJ812" s="68"/>
      <c r="AK812" s="68"/>
      <c r="AL812" s="68"/>
      <c r="AM812" s="68"/>
      <c r="AN812" s="68"/>
      <c r="AO812" s="68"/>
      <c r="AP812" s="68"/>
      <c r="AQ812" s="68"/>
      <c r="AR812" s="68"/>
      <c r="AS812" s="68"/>
      <c r="AT812" s="68"/>
      <c r="AU812" s="68"/>
      <c r="AV812" s="68"/>
      <c r="AW812" s="68"/>
      <c r="AX812" s="68"/>
      <c r="AY812" s="68"/>
      <c r="AZ812" s="68"/>
      <c r="BA812" s="68"/>
      <c r="BB812" s="68"/>
      <c r="BC812" s="68"/>
      <c r="BD812" s="68"/>
      <c r="BE812" s="68"/>
      <c r="BF812" s="68"/>
      <c r="BG812" s="68"/>
      <c r="BH812" s="68"/>
      <c r="BI812" s="68"/>
      <c r="BJ812" s="68"/>
      <c r="BK812" s="68"/>
      <c r="BL812" s="68"/>
      <c r="BM812" s="68"/>
      <c r="BN812" s="68"/>
      <c r="BO812" s="68"/>
      <c r="BP812" s="68"/>
      <c r="BQ812" s="68"/>
      <c r="BR812" s="68"/>
      <c r="BS812" s="68"/>
      <c r="BT812" s="68"/>
      <c r="BU812" s="68"/>
      <c r="BV812" s="68"/>
      <c r="BW812" s="68"/>
      <c r="BX812" s="68"/>
      <c r="BY812" s="68"/>
      <c r="BZ812" s="68"/>
      <c r="CA812" s="68"/>
      <c r="CB812" s="68"/>
      <c r="CC812" s="68"/>
    </row>
    <row r="813" spans="1:81" ht="15.75" x14ac:dyDescent="0.25">
      <c r="A813" s="68"/>
      <c r="B813" s="68"/>
      <c r="C813" s="68"/>
      <c r="D813" s="69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  <c r="AI813" s="68"/>
      <c r="AJ813" s="68"/>
      <c r="AK813" s="68"/>
      <c r="AL813" s="68"/>
      <c r="AM813" s="68"/>
      <c r="AN813" s="68"/>
      <c r="AO813" s="68"/>
      <c r="AP813" s="68"/>
      <c r="AQ813" s="68"/>
      <c r="AR813" s="68"/>
      <c r="AS813" s="68"/>
      <c r="AT813" s="68"/>
      <c r="AU813" s="68"/>
      <c r="AV813" s="68"/>
      <c r="AW813" s="68"/>
      <c r="AX813" s="68"/>
      <c r="AY813" s="68"/>
      <c r="AZ813" s="68"/>
      <c r="BA813" s="68"/>
      <c r="BB813" s="68"/>
      <c r="BC813" s="68"/>
      <c r="BD813" s="68"/>
      <c r="BE813" s="68"/>
      <c r="BF813" s="68"/>
      <c r="BG813" s="68"/>
      <c r="BH813" s="68"/>
      <c r="BI813" s="68"/>
      <c r="BJ813" s="68"/>
      <c r="BK813" s="68"/>
      <c r="BL813" s="68"/>
      <c r="BM813" s="68"/>
      <c r="BN813" s="68"/>
      <c r="BO813" s="68"/>
      <c r="BP813" s="68"/>
      <c r="BQ813" s="68"/>
      <c r="BR813" s="68"/>
      <c r="BS813" s="68"/>
      <c r="BT813" s="68"/>
      <c r="BU813" s="68"/>
      <c r="BV813" s="68"/>
      <c r="BW813" s="68"/>
      <c r="BX813" s="68"/>
      <c r="BY813" s="68"/>
      <c r="BZ813" s="68"/>
      <c r="CA813" s="68"/>
      <c r="CB813" s="68"/>
      <c r="CC813" s="68"/>
    </row>
    <row r="814" spans="1:81" ht="15.75" x14ac:dyDescent="0.25">
      <c r="A814" s="68"/>
      <c r="B814" s="68"/>
      <c r="C814" s="68"/>
      <c r="D814" s="69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  <c r="AI814" s="68"/>
      <c r="AJ814" s="68"/>
      <c r="AK814" s="68"/>
      <c r="AL814" s="68"/>
      <c r="AM814" s="68"/>
      <c r="AN814" s="68"/>
      <c r="AO814" s="68"/>
      <c r="AP814" s="68"/>
      <c r="AQ814" s="68"/>
      <c r="AR814" s="68"/>
      <c r="AS814" s="68"/>
      <c r="AT814" s="68"/>
      <c r="AU814" s="68"/>
      <c r="AV814" s="68"/>
      <c r="AW814" s="68"/>
      <c r="AX814" s="68"/>
      <c r="AY814" s="68"/>
      <c r="AZ814" s="68"/>
      <c r="BA814" s="68"/>
      <c r="BB814" s="68"/>
      <c r="BC814" s="68"/>
      <c r="BD814" s="68"/>
      <c r="BE814" s="68"/>
      <c r="BF814" s="68"/>
      <c r="BG814" s="68"/>
      <c r="BH814" s="68"/>
      <c r="BI814" s="68"/>
      <c r="BJ814" s="68"/>
      <c r="BK814" s="68"/>
      <c r="BL814" s="68"/>
      <c r="BM814" s="68"/>
      <c r="BN814" s="68"/>
      <c r="BO814" s="68"/>
      <c r="BP814" s="68"/>
      <c r="BQ814" s="68"/>
      <c r="BR814" s="68"/>
      <c r="BS814" s="68"/>
      <c r="BT814" s="68"/>
      <c r="BU814" s="68"/>
      <c r="BV814" s="68"/>
      <c r="BW814" s="68"/>
      <c r="BX814" s="68"/>
      <c r="BY814" s="68"/>
      <c r="BZ814" s="68"/>
      <c r="CA814" s="68"/>
      <c r="CB814" s="68"/>
      <c r="CC814" s="68"/>
    </row>
    <row r="815" spans="1:81" ht="15.75" x14ac:dyDescent="0.25">
      <c r="A815" s="68"/>
      <c r="B815" s="68"/>
      <c r="C815" s="68"/>
      <c r="D815" s="69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  <c r="AI815" s="68"/>
      <c r="AJ815" s="68"/>
      <c r="AK815" s="68"/>
      <c r="AL815" s="68"/>
      <c r="AM815" s="68"/>
      <c r="AN815" s="68"/>
      <c r="AO815" s="68"/>
      <c r="AP815" s="68"/>
      <c r="AQ815" s="68"/>
      <c r="AR815" s="68"/>
      <c r="AS815" s="68"/>
      <c r="AT815" s="68"/>
      <c r="AU815" s="68"/>
      <c r="AV815" s="68"/>
      <c r="AW815" s="68"/>
      <c r="AX815" s="68"/>
      <c r="AY815" s="68"/>
      <c r="AZ815" s="68"/>
      <c r="BA815" s="68"/>
      <c r="BB815" s="68"/>
      <c r="BC815" s="68"/>
      <c r="BD815" s="68"/>
      <c r="BE815" s="68"/>
      <c r="BF815" s="68"/>
      <c r="BG815" s="68"/>
      <c r="BH815" s="68"/>
      <c r="BI815" s="68"/>
      <c r="BJ815" s="68"/>
      <c r="BK815" s="68"/>
      <c r="BL815" s="68"/>
      <c r="BM815" s="68"/>
      <c r="BN815" s="68"/>
      <c r="BO815" s="68"/>
      <c r="BP815" s="68"/>
      <c r="BQ815" s="68"/>
      <c r="BR815" s="68"/>
      <c r="BS815" s="68"/>
      <c r="BT815" s="68"/>
      <c r="BU815" s="68"/>
      <c r="BV815" s="68"/>
      <c r="BW815" s="68"/>
      <c r="BX815" s="68"/>
      <c r="BY815" s="68"/>
      <c r="BZ815" s="68"/>
      <c r="CA815" s="68"/>
      <c r="CB815" s="68"/>
      <c r="CC815" s="68"/>
    </row>
    <row r="816" spans="1:81" ht="15.75" x14ac:dyDescent="0.25">
      <c r="A816" s="68"/>
      <c r="B816" s="68"/>
      <c r="C816" s="68"/>
      <c r="D816" s="69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  <c r="AI816" s="68"/>
      <c r="AJ816" s="68"/>
      <c r="AK816" s="68"/>
      <c r="AL816" s="68"/>
      <c r="AM816" s="68"/>
      <c r="AN816" s="68"/>
      <c r="AO816" s="68"/>
      <c r="AP816" s="68"/>
      <c r="AQ816" s="68"/>
      <c r="AR816" s="68"/>
      <c r="AS816" s="68"/>
      <c r="AT816" s="68"/>
      <c r="AU816" s="68"/>
      <c r="AV816" s="68"/>
      <c r="AW816" s="68"/>
      <c r="AX816" s="68"/>
      <c r="AY816" s="68"/>
      <c r="AZ816" s="68"/>
      <c r="BA816" s="68"/>
      <c r="BB816" s="68"/>
      <c r="BC816" s="68"/>
      <c r="BD816" s="68"/>
      <c r="BE816" s="68"/>
      <c r="BF816" s="68"/>
      <c r="BG816" s="68"/>
      <c r="BH816" s="68"/>
      <c r="BI816" s="68"/>
      <c r="BJ816" s="68"/>
      <c r="BK816" s="68"/>
      <c r="BL816" s="68"/>
      <c r="BM816" s="68"/>
      <c r="BN816" s="68"/>
      <c r="BO816" s="68"/>
      <c r="BP816" s="68"/>
      <c r="BQ816" s="68"/>
      <c r="BR816" s="68"/>
      <c r="BS816" s="68"/>
      <c r="BT816" s="68"/>
      <c r="BU816" s="68"/>
      <c r="BV816" s="68"/>
      <c r="BW816" s="68"/>
      <c r="BX816" s="68"/>
      <c r="BY816" s="68"/>
      <c r="BZ816" s="68"/>
      <c r="CA816" s="68"/>
      <c r="CB816" s="68"/>
      <c r="CC816" s="68"/>
    </row>
    <row r="817" spans="1:81" ht="15.75" x14ac:dyDescent="0.25">
      <c r="A817" s="68"/>
      <c r="B817" s="68"/>
      <c r="C817" s="68"/>
      <c r="D817" s="69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  <c r="AI817" s="68"/>
      <c r="AJ817" s="68"/>
      <c r="AK817" s="68"/>
      <c r="AL817" s="68"/>
      <c r="AM817" s="68"/>
      <c r="AN817" s="68"/>
      <c r="AO817" s="68"/>
      <c r="AP817" s="68"/>
      <c r="AQ817" s="68"/>
      <c r="AR817" s="68"/>
      <c r="AS817" s="68"/>
      <c r="AT817" s="68"/>
      <c r="AU817" s="68"/>
      <c r="AV817" s="68"/>
      <c r="AW817" s="68"/>
      <c r="AX817" s="68"/>
      <c r="AY817" s="68"/>
      <c r="AZ817" s="68"/>
      <c r="BA817" s="68"/>
      <c r="BB817" s="68"/>
      <c r="BC817" s="68"/>
      <c r="BD817" s="68"/>
      <c r="BE817" s="68"/>
      <c r="BF817" s="68"/>
      <c r="BG817" s="68"/>
      <c r="BH817" s="68"/>
      <c r="BI817" s="68"/>
      <c r="BJ817" s="68"/>
      <c r="BK817" s="68"/>
      <c r="BL817" s="68"/>
      <c r="BM817" s="68"/>
      <c r="BN817" s="68"/>
      <c r="BO817" s="68"/>
      <c r="BP817" s="68"/>
      <c r="BQ817" s="68"/>
      <c r="BR817" s="68"/>
      <c r="BS817" s="68"/>
      <c r="BT817" s="68"/>
      <c r="BU817" s="68"/>
      <c r="BV817" s="68"/>
      <c r="BW817" s="68"/>
      <c r="BX817" s="68"/>
      <c r="BY817" s="68"/>
      <c r="BZ817" s="68"/>
      <c r="CA817" s="68"/>
      <c r="CB817" s="68"/>
      <c r="CC817" s="68"/>
    </row>
    <row r="818" spans="1:81" ht="15.75" x14ac:dyDescent="0.25">
      <c r="A818" s="68"/>
      <c r="B818" s="68"/>
      <c r="C818" s="68"/>
      <c r="D818" s="69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  <c r="AD818" s="68"/>
      <c r="AE818" s="68"/>
      <c r="AF818" s="68"/>
      <c r="AG818" s="68"/>
      <c r="AH818" s="68"/>
      <c r="AI818" s="68"/>
      <c r="AJ818" s="68"/>
      <c r="AK818" s="68"/>
      <c r="AL818" s="68"/>
      <c r="AM818" s="68"/>
      <c r="AN818" s="68"/>
      <c r="AO818" s="68"/>
      <c r="AP818" s="68"/>
      <c r="AQ818" s="68"/>
      <c r="AR818" s="68"/>
      <c r="AS818" s="68"/>
      <c r="AT818" s="68"/>
      <c r="AU818" s="68"/>
      <c r="AV818" s="68"/>
      <c r="AW818" s="68"/>
      <c r="AX818" s="68"/>
      <c r="AY818" s="68"/>
      <c r="AZ818" s="68"/>
      <c r="BA818" s="68"/>
      <c r="BB818" s="68"/>
      <c r="BC818" s="68"/>
      <c r="BD818" s="68"/>
      <c r="BE818" s="68"/>
      <c r="BF818" s="68"/>
      <c r="BG818" s="68"/>
      <c r="BH818" s="68"/>
      <c r="BI818" s="68"/>
      <c r="BJ818" s="68"/>
      <c r="BK818" s="68"/>
      <c r="BL818" s="68"/>
      <c r="BM818" s="68"/>
      <c r="BN818" s="68"/>
      <c r="BO818" s="68"/>
      <c r="BP818" s="68"/>
      <c r="BQ818" s="68"/>
      <c r="BR818" s="68"/>
      <c r="BS818" s="68"/>
      <c r="BT818" s="68"/>
      <c r="BU818" s="68"/>
      <c r="BV818" s="68"/>
      <c r="BW818" s="68"/>
      <c r="BX818" s="68"/>
      <c r="BY818" s="68"/>
      <c r="BZ818" s="68"/>
      <c r="CA818" s="68"/>
      <c r="CB818" s="68"/>
      <c r="CC818" s="68"/>
    </row>
    <row r="819" spans="1:81" ht="15.75" x14ac:dyDescent="0.25">
      <c r="A819" s="68"/>
      <c r="B819" s="68"/>
      <c r="C819" s="68"/>
      <c r="D819" s="69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  <c r="AI819" s="68"/>
      <c r="AJ819" s="68"/>
      <c r="AK819" s="68"/>
      <c r="AL819" s="68"/>
      <c r="AM819" s="68"/>
      <c r="AN819" s="68"/>
      <c r="AO819" s="68"/>
      <c r="AP819" s="68"/>
      <c r="AQ819" s="68"/>
      <c r="AR819" s="68"/>
      <c r="AS819" s="68"/>
      <c r="AT819" s="68"/>
      <c r="AU819" s="68"/>
      <c r="AV819" s="68"/>
      <c r="AW819" s="68"/>
      <c r="AX819" s="68"/>
      <c r="AY819" s="68"/>
      <c r="AZ819" s="68"/>
      <c r="BA819" s="68"/>
      <c r="BB819" s="68"/>
      <c r="BC819" s="68"/>
      <c r="BD819" s="68"/>
      <c r="BE819" s="68"/>
      <c r="BF819" s="68"/>
      <c r="BG819" s="68"/>
      <c r="BH819" s="68"/>
      <c r="BI819" s="68"/>
      <c r="BJ819" s="68"/>
      <c r="BK819" s="68"/>
      <c r="BL819" s="68"/>
      <c r="BM819" s="68"/>
      <c r="BN819" s="68"/>
      <c r="BO819" s="68"/>
      <c r="BP819" s="68"/>
      <c r="BQ819" s="68"/>
      <c r="BR819" s="68"/>
      <c r="BS819" s="68"/>
      <c r="BT819" s="68"/>
      <c r="BU819" s="68"/>
      <c r="BV819" s="68"/>
      <c r="BW819" s="68"/>
      <c r="BX819" s="68"/>
      <c r="BY819" s="68"/>
      <c r="BZ819" s="68"/>
      <c r="CA819" s="68"/>
      <c r="CB819" s="68"/>
      <c r="CC819" s="68"/>
    </row>
    <row r="820" spans="1:81" ht="15.75" x14ac:dyDescent="0.25">
      <c r="A820" s="68"/>
      <c r="B820" s="68"/>
      <c r="C820" s="68"/>
      <c r="D820" s="69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  <c r="AI820" s="68"/>
      <c r="AJ820" s="68"/>
      <c r="AK820" s="68"/>
      <c r="AL820" s="68"/>
      <c r="AM820" s="68"/>
      <c r="AN820" s="68"/>
      <c r="AO820" s="68"/>
      <c r="AP820" s="68"/>
      <c r="AQ820" s="68"/>
      <c r="AR820" s="68"/>
      <c r="AS820" s="68"/>
      <c r="AT820" s="68"/>
      <c r="AU820" s="68"/>
      <c r="AV820" s="68"/>
      <c r="AW820" s="68"/>
      <c r="AX820" s="68"/>
      <c r="AY820" s="68"/>
      <c r="AZ820" s="68"/>
      <c r="BA820" s="68"/>
      <c r="BB820" s="68"/>
      <c r="BC820" s="68"/>
      <c r="BD820" s="68"/>
      <c r="BE820" s="68"/>
      <c r="BF820" s="68"/>
      <c r="BG820" s="68"/>
      <c r="BH820" s="68"/>
      <c r="BI820" s="68"/>
      <c r="BJ820" s="68"/>
      <c r="BK820" s="68"/>
      <c r="BL820" s="68"/>
      <c r="BM820" s="68"/>
      <c r="BN820" s="68"/>
      <c r="BO820" s="68"/>
      <c r="BP820" s="68"/>
      <c r="BQ820" s="68"/>
      <c r="BR820" s="68"/>
      <c r="BS820" s="68"/>
      <c r="BT820" s="68"/>
      <c r="BU820" s="68"/>
      <c r="BV820" s="68"/>
      <c r="BW820" s="68"/>
      <c r="BX820" s="68"/>
      <c r="BY820" s="68"/>
      <c r="BZ820" s="68"/>
      <c r="CA820" s="68"/>
      <c r="CB820" s="68"/>
      <c r="CC820" s="68"/>
    </row>
    <row r="821" spans="1:81" ht="15.75" x14ac:dyDescent="0.25">
      <c r="A821" s="68"/>
      <c r="B821" s="68"/>
      <c r="C821" s="68"/>
      <c r="D821" s="69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  <c r="AI821" s="68"/>
      <c r="AJ821" s="68"/>
      <c r="AK821" s="68"/>
      <c r="AL821" s="68"/>
      <c r="AM821" s="68"/>
      <c r="AN821" s="68"/>
      <c r="AO821" s="68"/>
      <c r="AP821" s="68"/>
      <c r="AQ821" s="68"/>
      <c r="AR821" s="68"/>
      <c r="AS821" s="68"/>
      <c r="AT821" s="68"/>
      <c r="AU821" s="68"/>
      <c r="AV821" s="68"/>
      <c r="AW821" s="68"/>
      <c r="AX821" s="68"/>
      <c r="AY821" s="68"/>
      <c r="AZ821" s="68"/>
      <c r="BA821" s="68"/>
      <c r="BB821" s="68"/>
      <c r="BC821" s="68"/>
      <c r="BD821" s="68"/>
      <c r="BE821" s="68"/>
      <c r="BF821" s="68"/>
      <c r="BG821" s="68"/>
      <c r="BH821" s="68"/>
      <c r="BI821" s="68"/>
      <c r="BJ821" s="68"/>
      <c r="BK821" s="68"/>
      <c r="BL821" s="68"/>
      <c r="BM821" s="68"/>
      <c r="BN821" s="68"/>
      <c r="BO821" s="68"/>
      <c r="BP821" s="68"/>
      <c r="BQ821" s="68"/>
      <c r="BR821" s="68"/>
      <c r="BS821" s="68"/>
      <c r="BT821" s="68"/>
      <c r="BU821" s="68"/>
      <c r="BV821" s="68"/>
      <c r="BW821" s="68"/>
      <c r="BX821" s="68"/>
      <c r="BY821" s="68"/>
      <c r="BZ821" s="68"/>
      <c r="CA821" s="68"/>
      <c r="CB821" s="68"/>
      <c r="CC821" s="68"/>
    </row>
    <row r="822" spans="1:81" ht="15.75" x14ac:dyDescent="0.25">
      <c r="A822" s="68"/>
      <c r="B822" s="68"/>
      <c r="C822" s="68"/>
      <c r="D822" s="69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  <c r="AI822" s="68"/>
      <c r="AJ822" s="68"/>
      <c r="AK822" s="68"/>
      <c r="AL822" s="68"/>
      <c r="AM822" s="68"/>
      <c r="AN822" s="68"/>
      <c r="AO822" s="68"/>
      <c r="AP822" s="68"/>
      <c r="AQ822" s="68"/>
      <c r="AR822" s="68"/>
      <c r="AS822" s="68"/>
      <c r="AT822" s="68"/>
      <c r="AU822" s="68"/>
      <c r="AV822" s="68"/>
      <c r="AW822" s="68"/>
      <c r="AX822" s="68"/>
      <c r="AY822" s="68"/>
      <c r="AZ822" s="68"/>
      <c r="BA822" s="68"/>
      <c r="BB822" s="68"/>
      <c r="BC822" s="68"/>
      <c r="BD822" s="68"/>
      <c r="BE822" s="68"/>
      <c r="BF822" s="68"/>
      <c r="BG822" s="68"/>
      <c r="BH822" s="68"/>
      <c r="BI822" s="68"/>
      <c r="BJ822" s="68"/>
      <c r="BK822" s="68"/>
      <c r="BL822" s="68"/>
      <c r="BM822" s="68"/>
      <c r="BN822" s="68"/>
      <c r="BO822" s="68"/>
      <c r="BP822" s="68"/>
      <c r="BQ822" s="68"/>
      <c r="BR822" s="68"/>
      <c r="BS822" s="68"/>
      <c r="BT822" s="68"/>
      <c r="BU822" s="68"/>
      <c r="BV822" s="68"/>
      <c r="BW822" s="68"/>
      <c r="BX822" s="68"/>
      <c r="BY822" s="68"/>
      <c r="BZ822" s="68"/>
      <c r="CA822" s="68"/>
      <c r="CB822" s="68"/>
      <c r="CC822" s="68"/>
    </row>
    <row r="823" spans="1:81" ht="15.75" x14ac:dyDescent="0.25">
      <c r="A823" s="68"/>
      <c r="B823" s="68"/>
      <c r="C823" s="68"/>
      <c r="D823" s="69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  <c r="AI823" s="68"/>
      <c r="AJ823" s="68"/>
      <c r="AK823" s="68"/>
      <c r="AL823" s="68"/>
      <c r="AM823" s="68"/>
      <c r="AN823" s="68"/>
      <c r="AO823" s="68"/>
      <c r="AP823" s="68"/>
      <c r="AQ823" s="68"/>
      <c r="AR823" s="68"/>
      <c r="AS823" s="68"/>
      <c r="AT823" s="68"/>
      <c r="AU823" s="68"/>
      <c r="AV823" s="68"/>
      <c r="AW823" s="68"/>
      <c r="AX823" s="68"/>
      <c r="AY823" s="68"/>
      <c r="AZ823" s="68"/>
      <c r="BA823" s="68"/>
      <c r="BB823" s="68"/>
      <c r="BC823" s="68"/>
      <c r="BD823" s="68"/>
      <c r="BE823" s="68"/>
      <c r="BF823" s="68"/>
      <c r="BG823" s="68"/>
      <c r="BH823" s="68"/>
      <c r="BI823" s="68"/>
      <c r="BJ823" s="68"/>
      <c r="BK823" s="68"/>
      <c r="BL823" s="68"/>
      <c r="BM823" s="68"/>
      <c r="BN823" s="68"/>
      <c r="BO823" s="68"/>
      <c r="BP823" s="68"/>
      <c r="BQ823" s="68"/>
      <c r="BR823" s="68"/>
      <c r="BS823" s="68"/>
      <c r="BT823" s="68"/>
      <c r="BU823" s="68"/>
      <c r="BV823" s="68"/>
      <c r="BW823" s="68"/>
      <c r="BX823" s="68"/>
      <c r="BY823" s="68"/>
      <c r="BZ823" s="68"/>
      <c r="CA823" s="68"/>
      <c r="CB823" s="68"/>
      <c r="CC823" s="68"/>
    </row>
    <row r="824" spans="1:81" ht="15.75" x14ac:dyDescent="0.25">
      <c r="A824" s="68"/>
      <c r="B824" s="68"/>
      <c r="C824" s="68"/>
      <c r="D824" s="69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  <c r="AI824" s="68"/>
      <c r="AJ824" s="68"/>
      <c r="AK824" s="68"/>
      <c r="AL824" s="68"/>
      <c r="AM824" s="68"/>
      <c r="AN824" s="68"/>
      <c r="AO824" s="68"/>
      <c r="AP824" s="68"/>
      <c r="AQ824" s="68"/>
      <c r="AR824" s="68"/>
      <c r="AS824" s="68"/>
      <c r="AT824" s="68"/>
      <c r="AU824" s="68"/>
      <c r="AV824" s="68"/>
      <c r="AW824" s="68"/>
      <c r="AX824" s="68"/>
      <c r="AY824" s="68"/>
      <c r="AZ824" s="68"/>
      <c r="BA824" s="68"/>
      <c r="BB824" s="68"/>
      <c r="BC824" s="68"/>
      <c r="BD824" s="68"/>
      <c r="BE824" s="68"/>
      <c r="BF824" s="68"/>
      <c r="BG824" s="68"/>
      <c r="BH824" s="68"/>
      <c r="BI824" s="68"/>
      <c r="BJ824" s="68"/>
      <c r="BK824" s="68"/>
      <c r="BL824" s="68"/>
      <c r="BM824" s="68"/>
      <c r="BN824" s="68"/>
      <c r="BO824" s="68"/>
      <c r="BP824" s="68"/>
      <c r="BQ824" s="68"/>
      <c r="BR824" s="68"/>
      <c r="BS824" s="68"/>
      <c r="BT824" s="68"/>
      <c r="BU824" s="68"/>
      <c r="BV824" s="68"/>
      <c r="BW824" s="68"/>
      <c r="BX824" s="68"/>
      <c r="BY824" s="68"/>
      <c r="BZ824" s="68"/>
      <c r="CA824" s="68"/>
      <c r="CB824" s="68"/>
      <c r="CC824" s="68"/>
    </row>
    <row r="825" spans="1:81" ht="15.75" x14ac:dyDescent="0.25">
      <c r="A825" s="68"/>
      <c r="B825" s="68"/>
      <c r="C825" s="68"/>
      <c r="D825" s="69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  <c r="AI825" s="68"/>
      <c r="AJ825" s="68"/>
      <c r="AK825" s="68"/>
      <c r="AL825" s="68"/>
      <c r="AM825" s="68"/>
      <c r="AN825" s="68"/>
      <c r="AO825" s="68"/>
      <c r="AP825" s="68"/>
      <c r="AQ825" s="68"/>
      <c r="AR825" s="68"/>
      <c r="AS825" s="68"/>
      <c r="AT825" s="68"/>
      <c r="AU825" s="68"/>
      <c r="AV825" s="68"/>
      <c r="AW825" s="68"/>
      <c r="AX825" s="68"/>
      <c r="AY825" s="68"/>
      <c r="AZ825" s="68"/>
      <c r="BA825" s="68"/>
      <c r="BB825" s="68"/>
      <c r="BC825" s="68"/>
      <c r="BD825" s="68"/>
      <c r="BE825" s="68"/>
      <c r="BF825" s="68"/>
      <c r="BG825" s="68"/>
      <c r="BH825" s="68"/>
      <c r="BI825" s="68"/>
      <c r="BJ825" s="68"/>
      <c r="BK825" s="68"/>
      <c r="BL825" s="68"/>
      <c r="BM825" s="68"/>
      <c r="BN825" s="68"/>
      <c r="BO825" s="68"/>
      <c r="BP825" s="68"/>
      <c r="BQ825" s="68"/>
      <c r="BR825" s="68"/>
      <c r="BS825" s="68"/>
      <c r="BT825" s="68"/>
      <c r="BU825" s="68"/>
      <c r="BV825" s="68"/>
      <c r="BW825" s="68"/>
      <c r="BX825" s="68"/>
      <c r="BY825" s="68"/>
      <c r="BZ825" s="68"/>
      <c r="CA825" s="68"/>
      <c r="CB825" s="68"/>
      <c r="CC825" s="68"/>
    </row>
    <row r="826" spans="1:81" ht="15.75" x14ac:dyDescent="0.25">
      <c r="A826" s="68"/>
      <c r="B826" s="68"/>
      <c r="C826" s="68"/>
      <c r="D826" s="69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  <c r="AI826" s="68"/>
      <c r="AJ826" s="68"/>
      <c r="AK826" s="68"/>
      <c r="AL826" s="68"/>
      <c r="AM826" s="68"/>
      <c r="AN826" s="68"/>
      <c r="AO826" s="68"/>
      <c r="AP826" s="68"/>
      <c r="AQ826" s="68"/>
      <c r="AR826" s="68"/>
      <c r="AS826" s="68"/>
      <c r="AT826" s="68"/>
      <c r="AU826" s="68"/>
      <c r="AV826" s="68"/>
      <c r="AW826" s="68"/>
      <c r="AX826" s="68"/>
      <c r="AY826" s="68"/>
      <c r="AZ826" s="68"/>
      <c r="BA826" s="68"/>
      <c r="BB826" s="68"/>
      <c r="BC826" s="68"/>
      <c r="BD826" s="68"/>
      <c r="BE826" s="68"/>
      <c r="BF826" s="68"/>
      <c r="BG826" s="68"/>
      <c r="BH826" s="68"/>
      <c r="BI826" s="68"/>
      <c r="BJ826" s="68"/>
      <c r="BK826" s="68"/>
      <c r="BL826" s="68"/>
      <c r="BM826" s="68"/>
      <c r="BN826" s="68"/>
      <c r="BO826" s="68"/>
      <c r="BP826" s="68"/>
      <c r="BQ826" s="68"/>
      <c r="BR826" s="68"/>
      <c r="BS826" s="68"/>
      <c r="BT826" s="68"/>
      <c r="BU826" s="68"/>
      <c r="BV826" s="68"/>
      <c r="BW826" s="68"/>
      <c r="BX826" s="68"/>
      <c r="BY826" s="68"/>
      <c r="BZ826" s="68"/>
      <c r="CA826" s="68"/>
      <c r="CB826" s="68"/>
      <c r="CC826" s="68"/>
    </row>
    <row r="827" spans="1:81" ht="15.75" x14ac:dyDescent="0.25">
      <c r="A827" s="68"/>
      <c r="B827" s="68"/>
      <c r="C827" s="68"/>
      <c r="D827" s="69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  <c r="AI827" s="68"/>
      <c r="AJ827" s="68"/>
      <c r="AK827" s="68"/>
      <c r="AL827" s="68"/>
      <c r="AM827" s="68"/>
      <c r="AN827" s="68"/>
      <c r="AO827" s="68"/>
      <c r="AP827" s="68"/>
      <c r="AQ827" s="68"/>
      <c r="AR827" s="68"/>
      <c r="AS827" s="68"/>
      <c r="AT827" s="68"/>
      <c r="AU827" s="68"/>
      <c r="AV827" s="68"/>
      <c r="AW827" s="68"/>
      <c r="AX827" s="68"/>
      <c r="AY827" s="68"/>
      <c r="AZ827" s="68"/>
      <c r="BA827" s="68"/>
      <c r="BB827" s="68"/>
      <c r="BC827" s="68"/>
      <c r="BD827" s="68"/>
      <c r="BE827" s="68"/>
      <c r="BF827" s="68"/>
      <c r="BG827" s="68"/>
      <c r="BH827" s="68"/>
      <c r="BI827" s="68"/>
      <c r="BJ827" s="68"/>
      <c r="BK827" s="68"/>
      <c r="BL827" s="68"/>
      <c r="BM827" s="68"/>
      <c r="BN827" s="68"/>
      <c r="BO827" s="68"/>
      <c r="BP827" s="68"/>
      <c r="BQ827" s="68"/>
      <c r="BR827" s="68"/>
      <c r="BS827" s="68"/>
      <c r="BT827" s="68"/>
      <c r="BU827" s="68"/>
      <c r="BV827" s="68"/>
      <c r="BW827" s="68"/>
      <c r="BX827" s="68"/>
      <c r="BY827" s="68"/>
      <c r="BZ827" s="68"/>
      <c r="CA827" s="68"/>
      <c r="CB827" s="68"/>
      <c r="CC827" s="68"/>
    </row>
    <row r="828" spans="1:81" ht="15.75" x14ac:dyDescent="0.25">
      <c r="A828" s="68"/>
      <c r="B828" s="68"/>
      <c r="C828" s="68"/>
      <c r="D828" s="69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  <c r="AI828" s="68"/>
      <c r="AJ828" s="68"/>
      <c r="AK828" s="68"/>
      <c r="AL828" s="68"/>
      <c r="AM828" s="68"/>
      <c r="AN828" s="68"/>
      <c r="AO828" s="68"/>
      <c r="AP828" s="68"/>
      <c r="AQ828" s="68"/>
      <c r="AR828" s="68"/>
      <c r="AS828" s="68"/>
      <c r="AT828" s="68"/>
      <c r="AU828" s="68"/>
      <c r="AV828" s="68"/>
      <c r="AW828" s="68"/>
      <c r="AX828" s="68"/>
      <c r="AY828" s="68"/>
      <c r="AZ828" s="68"/>
      <c r="BA828" s="68"/>
      <c r="BB828" s="68"/>
      <c r="BC828" s="68"/>
      <c r="BD828" s="68"/>
      <c r="BE828" s="68"/>
      <c r="BF828" s="68"/>
      <c r="BG828" s="68"/>
      <c r="BH828" s="68"/>
      <c r="BI828" s="68"/>
      <c r="BJ828" s="68"/>
      <c r="BK828" s="68"/>
      <c r="BL828" s="68"/>
      <c r="BM828" s="68"/>
      <c r="BN828" s="68"/>
      <c r="BO828" s="68"/>
      <c r="BP828" s="68"/>
      <c r="BQ828" s="68"/>
      <c r="BR828" s="68"/>
      <c r="BS828" s="68"/>
      <c r="BT828" s="68"/>
      <c r="BU828" s="68"/>
      <c r="BV828" s="68"/>
      <c r="BW828" s="68"/>
      <c r="BX828" s="68"/>
      <c r="BY828" s="68"/>
      <c r="BZ828" s="68"/>
      <c r="CA828" s="68"/>
      <c r="CB828" s="68"/>
      <c r="CC828" s="68"/>
    </row>
    <row r="829" spans="1:81" ht="15.75" x14ac:dyDescent="0.25">
      <c r="A829" s="68"/>
      <c r="B829" s="68"/>
      <c r="C829" s="68"/>
      <c r="D829" s="69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  <c r="AI829" s="68"/>
      <c r="AJ829" s="68"/>
      <c r="AK829" s="68"/>
      <c r="AL829" s="68"/>
      <c r="AM829" s="68"/>
      <c r="AN829" s="68"/>
      <c r="AO829" s="68"/>
      <c r="AP829" s="68"/>
      <c r="AQ829" s="68"/>
      <c r="AR829" s="68"/>
      <c r="AS829" s="68"/>
      <c r="AT829" s="68"/>
      <c r="AU829" s="68"/>
      <c r="AV829" s="68"/>
      <c r="AW829" s="68"/>
      <c r="AX829" s="68"/>
      <c r="AY829" s="68"/>
      <c r="AZ829" s="68"/>
      <c r="BA829" s="68"/>
      <c r="BB829" s="68"/>
      <c r="BC829" s="68"/>
      <c r="BD829" s="68"/>
      <c r="BE829" s="68"/>
      <c r="BF829" s="68"/>
      <c r="BG829" s="68"/>
      <c r="BH829" s="68"/>
      <c r="BI829" s="68"/>
      <c r="BJ829" s="68"/>
      <c r="BK829" s="68"/>
      <c r="BL829" s="68"/>
      <c r="BM829" s="68"/>
      <c r="BN829" s="68"/>
      <c r="BO829" s="68"/>
      <c r="BP829" s="68"/>
      <c r="BQ829" s="68"/>
      <c r="BR829" s="68"/>
      <c r="BS829" s="68"/>
      <c r="BT829" s="68"/>
      <c r="BU829" s="68"/>
      <c r="BV829" s="68"/>
      <c r="BW829" s="68"/>
      <c r="BX829" s="68"/>
      <c r="BY829" s="68"/>
      <c r="BZ829" s="68"/>
      <c r="CA829" s="68"/>
      <c r="CB829" s="68"/>
      <c r="CC829" s="68"/>
    </row>
    <row r="830" spans="1:81" ht="15.75" x14ac:dyDescent="0.25">
      <c r="A830" s="68"/>
      <c r="B830" s="68"/>
      <c r="C830" s="68"/>
      <c r="D830" s="69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  <c r="AI830" s="68"/>
      <c r="AJ830" s="68"/>
      <c r="AK830" s="68"/>
      <c r="AL830" s="68"/>
      <c r="AM830" s="68"/>
      <c r="AN830" s="68"/>
      <c r="AO830" s="68"/>
      <c r="AP830" s="68"/>
      <c r="AQ830" s="68"/>
      <c r="AR830" s="68"/>
      <c r="AS830" s="68"/>
      <c r="AT830" s="68"/>
      <c r="AU830" s="68"/>
      <c r="AV830" s="68"/>
      <c r="AW830" s="68"/>
      <c r="AX830" s="68"/>
      <c r="AY830" s="68"/>
      <c r="AZ830" s="68"/>
      <c r="BA830" s="68"/>
      <c r="BB830" s="68"/>
      <c r="BC830" s="68"/>
      <c r="BD830" s="68"/>
      <c r="BE830" s="68"/>
      <c r="BF830" s="68"/>
      <c r="BG830" s="68"/>
      <c r="BH830" s="68"/>
      <c r="BI830" s="68"/>
      <c r="BJ830" s="68"/>
      <c r="BK830" s="68"/>
      <c r="BL830" s="68"/>
      <c r="BM830" s="68"/>
      <c r="BN830" s="68"/>
      <c r="BO830" s="68"/>
      <c r="BP830" s="68"/>
      <c r="BQ830" s="68"/>
      <c r="BR830" s="68"/>
      <c r="BS830" s="68"/>
      <c r="BT830" s="68"/>
      <c r="BU830" s="68"/>
      <c r="BV830" s="68"/>
      <c r="BW830" s="68"/>
      <c r="BX830" s="68"/>
      <c r="BY830" s="68"/>
      <c r="BZ830" s="68"/>
      <c r="CA830" s="68"/>
      <c r="CB830" s="68"/>
      <c r="CC830" s="68"/>
    </row>
    <row r="831" spans="1:81" ht="15.75" x14ac:dyDescent="0.25">
      <c r="A831" s="68"/>
      <c r="B831" s="68"/>
      <c r="C831" s="68"/>
      <c r="D831" s="69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  <c r="AI831" s="68"/>
      <c r="AJ831" s="68"/>
      <c r="AK831" s="68"/>
      <c r="AL831" s="68"/>
      <c r="AM831" s="68"/>
      <c r="AN831" s="68"/>
      <c r="AO831" s="68"/>
      <c r="AP831" s="68"/>
      <c r="AQ831" s="68"/>
      <c r="AR831" s="68"/>
      <c r="AS831" s="68"/>
      <c r="AT831" s="68"/>
      <c r="AU831" s="68"/>
      <c r="AV831" s="68"/>
      <c r="AW831" s="68"/>
      <c r="AX831" s="68"/>
      <c r="AY831" s="68"/>
      <c r="AZ831" s="68"/>
      <c r="BA831" s="68"/>
      <c r="BB831" s="68"/>
      <c r="BC831" s="68"/>
      <c r="BD831" s="68"/>
      <c r="BE831" s="68"/>
      <c r="BF831" s="68"/>
      <c r="BG831" s="68"/>
      <c r="BH831" s="68"/>
      <c r="BI831" s="68"/>
      <c r="BJ831" s="68"/>
      <c r="BK831" s="68"/>
      <c r="BL831" s="68"/>
      <c r="BM831" s="68"/>
      <c r="BN831" s="68"/>
      <c r="BO831" s="68"/>
      <c r="BP831" s="68"/>
      <c r="BQ831" s="68"/>
      <c r="BR831" s="68"/>
      <c r="BS831" s="68"/>
      <c r="BT831" s="68"/>
      <c r="BU831" s="68"/>
      <c r="BV831" s="68"/>
      <c r="BW831" s="68"/>
      <c r="BX831" s="68"/>
      <c r="BY831" s="68"/>
      <c r="BZ831" s="68"/>
      <c r="CA831" s="68"/>
      <c r="CB831" s="68"/>
      <c r="CC831" s="68"/>
    </row>
    <row r="832" spans="1:81" ht="15.75" x14ac:dyDescent="0.25">
      <c r="A832" s="68"/>
      <c r="B832" s="68"/>
      <c r="C832" s="68"/>
      <c r="D832" s="69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  <c r="AI832" s="68"/>
      <c r="AJ832" s="68"/>
      <c r="AK832" s="68"/>
      <c r="AL832" s="68"/>
      <c r="AM832" s="68"/>
      <c r="AN832" s="68"/>
      <c r="AO832" s="68"/>
      <c r="AP832" s="68"/>
      <c r="AQ832" s="68"/>
      <c r="AR832" s="68"/>
      <c r="AS832" s="68"/>
      <c r="AT832" s="68"/>
      <c r="AU832" s="68"/>
      <c r="AV832" s="68"/>
      <c r="AW832" s="68"/>
      <c r="AX832" s="68"/>
      <c r="AY832" s="68"/>
      <c r="AZ832" s="68"/>
      <c r="BA832" s="68"/>
      <c r="BB832" s="68"/>
      <c r="BC832" s="68"/>
      <c r="BD832" s="68"/>
      <c r="BE832" s="68"/>
      <c r="BF832" s="68"/>
      <c r="BG832" s="68"/>
      <c r="BH832" s="68"/>
      <c r="BI832" s="68"/>
      <c r="BJ832" s="68"/>
      <c r="BK832" s="68"/>
      <c r="BL832" s="68"/>
      <c r="BM832" s="68"/>
      <c r="BN832" s="68"/>
      <c r="BO832" s="68"/>
      <c r="BP832" s="68"/>
      <c r="BQ832" s="68"/>
      <c r="BR832" s="68"/>
      <c r="BS832" s="68"/>
      <c r="BT832" s="68"/>
      <c r="BU832" s="68"/>
      <c r="BV832" s="68"/>
      <c r="BW832" s="68"/>
      <c r="BX832" s="68"/>
      <c r="BY832" s="68"/>
      <c r="BZ832" s="68"/>
      <c r="CA832" s="68"/>
      <c r="CB832" s="68"/>
      <c r="CC832" s="68"/>
    </row>
    <row r="833" spans="1:81" ht="15.75" x14ac:dyDescent="0.25">
      <c r="A833" s="68"/>
      <c r="B833" s="68"/>
      <c r="C833" s="68"/>
      <c r="D833" s="69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  <c r="AI833" s="68"/>
      <c r="AJ833" s="68"/>
      <c r="AK833" s="68"/>
      <c r="AL833" s="68"/>
      <c r="AM833" s="68"/>
      <c r="AN833" s="68"/>
      <c r="AO833" s="68"/>
      <c r="AP833" s="68"/>
      <c r="AQ833" s="68"/>
      <c r="AR833" s="68"/>
      <c r="AS833" s="68"/>
      <c r="AT833" s="68"/>
      <c r="AU833" s="68"/>
      <c r="AV833" s="68"/>
      <c r="AW833" s="68"/>
      <c r="AX833" s="68"/>
      <c r="AY833" s="68"/>
      <c r="AZ833" s="68"/>
      <c r="BA833" s="68"/>
      <c r="BB833" s="68"/>
      <c r="BC833" s="68"/>
      <c r="BD833" s="68"/>
      <c r="BE833" s="68"/>
      <c r="BF833" s="68"/>
      <c r="BG833" s="68"/>
      <c r="BH833" s="68"/>
      <c r="BI833" s="68"/>
      <c r="BJ833" s="68"/>
      <c r="BK833" s="68"/>
      <c r="BL833" s="68"/>
      <c r="BM833" s="68"/>
      <c r="BN833" s="68"/>
      <c r="BO833" s="68"/>
      <c r="BP833" s="68"/>
      <c r="BQ833" s="68"/>
      <c r="BR833" s="68"/>
      <c r="BS833" s="68"/>
      <c r="BT833" s="68"/>
      <c r="BU833" s="68"/>
      <c r="BV833" s="68"/>
      <c r="BW833" s="68"/>
      <c r="BX833" s="68"/>
      <c r="BY833" s="68"/>
      <c r="BZ833" s="68"/>
      <c r="CA833" s="68"/>
      <c r="CB833" s="68"/>
      <c r="CC833" s="68"/>
    </row>
    <row r="834" spans="1:81" ht="15.75" x14ac:dyDescent="0.25">
      <c r="A834" s="68"/>
      <c r="B834" s="68"/>
      <c r="C834" s="68"/>
      <c r="D834" s="69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  <c r="AI834" s="68"/>
      <c r="AJ834" s="68"/>
      <c r="AK834" s="68"/>
      <c r="AL834" s="68"/>
      <c r="AM834" s="68"/>
      <c r="AN834" s="68"/>
      <c r="AO834" s="68"/>
      <c r="AP834" s="68"/>
      <c r="AQ834" s="68"/>
      <c r="AR834" s="68"/>
      <c r="AS834" s="68"/>
      <c r="AT834" s="68"/>
      <c r="AU834" s="68"/>
      <c r="AV834" s="68"/>
      <c r="AW834" s="68"/>
      <c r="AX834" s="68"/>
      <c r="AY834" s="68"/>
      <c r="AZ834" s="68"/>
      <c r="BA834" s="68"/>
      <c r="BB834" s="68"/>
      <c r="BC834" s="68"/>
      <c r="BD834" s="68"/>
      <c r="BE834" s="68"/>
      <c r="BF834" s="68"/>
      <c r="BG834" s="68"/>
      <c r="BH834" s="68"/>
      <c r="BI834" s="68"/>
      <c r="BJ834" s="68"/>
      <c r="BK834" s="68"/>
      <c r="BL834" s="68"/>
      <c r="BM834" s="68"/>
      <c r="BN834" s="68"/>
      <c r="BO834" s="68"/>
      <c r="BP834" s="68"/>
      <c r="BQ834" s="68"/>
      <c r="BR834" s="68"/>
      <c r="BS834" s="68"/>
      <c r="BT834" s="68"/>
      <c r="BU834" s="68"/>
      <c r="BV834" s="68"/>
      <c r="BW834" s="68"/>
      <c r="BX834" s="68"/>
      <c r="BY834" s="68"/>
      <c r="BZ834" s="68"/>
      <c r="CA834" s="68"/>
      <c r="CB834" s="68"/>
      <c r="CC834" s="68"/>
    </row>
    <row r="835" spans="1:81" ht="15.75" x14ac:dyDescent="0.25">
      <c r="A835" s="68"/>
      <c r="B835" s="68"/>
      <c r="C835" s="68"/>
      <c r="D835" s="69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  <c r="AI835" s="68"/>
      <c r="AJ835" s="68"/>
      <c r="AK835" s="68"/>
      <c r="AL835" s="68"/>
      <c r="AM835" s="68"/>
      <c r="AN835" s="68"/>
      <c r="AO835" s="68"/>
      <c r="AP835" s="68"/>
      <c r="AQ835" s="68"/>
      <c r="AR835" s="68"/>
      <c r="AS835" s="68"/>
      <c r="AT835" s="68"/>
      <c r="AU835" s="68"/>
      <c r="AV835" s="68"/>
      <c r="AW835" s="68"/>
      <c r="AX835" s="68"/>
      <c r="AY835" s="68"/>
      <c r="AZ835" s="68"/>
      <c r="BA835" s="68"/>
      <c r="BB835" s="68"/>
      <c r="BC835" s="68"/>
      <c r="BD835" s="68"/>
      <c r="BE835" s="68"/>
      <c r="BF835" s="68"/>
      <c r="BG835" s="68"/>
      <c r="BH835" s="68"/>
      <c r="BI835" s="68"/>
      <c r="BJ835" s="68"/>
      <c r="BK835" s="68"/>
      <c r="BL835" s="68"/>
      <c r="BM835" s="68"/>
      <c r="BN835" s="68"/>
      <c r="BO835" s="68"/>
      <c r="BP835" s="68"/>
      <c r="BQ835" s="68"/>
      <c r="BR835" s="68"/>
      <c r="BS835" s="68"/>
      <c r="BT835" s="68"/>
      <c r="BU835" s="68"/>
      <c r="BV835" s="68"/>
      <c r="BW835" s="68"/>
      <c r="BX835" s="68"/>
      <c r="BY835" s="68"/>
      <c r="BZ835" s="68"/>
      <c r="CA835" s="68"/>
      <c r="CB835" s="68"/>
      <c r="CC835" s="68"/>
    </row>
    <row r="836" spans="1:81" ht="15.75" x14ac:dyDescent="0.25">
      <c r="A836" s="68"/>
      <c r="B836" s="68"/>
      <c r="C836" s="68"/>
      <c r="D836" s="69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  <c r="AI836" s="68"/>
      <c r="AJ836" s="68"/>
      <c r="AK836" s="68"/>
      <c r="AL836" s="68"/>
      <c r="AM836" s="68"/>
      <c r="AN836" s="68"/>
      <c r="AO836" s="68"/>
      <c r="AP836" s="68"/>
      <c r="AQ836" s="68"/>
      <c r="AR836" s="68"/>
      <c r="AS836" s="68"/>
      <c r="AT836" s="68"/>
      <c r="AU836" s="68"/>
      <c r="AV836" s="68"/>
      <c r="AW836" s="68"/>
      <c r="AX836" s="68"/>
      <c r="AY836" s="68"/>
      <c r="AZ836" s="68"/>
      <c r="BA836" s="68"/>
      <c r="BB836" s="68"/>
      <c r="BC836" s="68"/>
      <c r="BD836" s="68"/>
      <c r="BE836" s="68"/>
      <c r="BF836" s="68"/>
      <c r="BG836" s="68"/>
      <c r="BH836" s="68"/>
      <c r="BI836" s="68"/>
      <c r="BJ836" s="68"/>
      <c r="BK836" s="68"/>
      <c r="BL836" s="68"/>
      <c r="BM836" s="68"/>
      <c r="BN836" s="68"/>
      <c r="BO836" s="68"/>
      <c r="BP836" s="68"/>
      <c r="BQ836" s="68"/>
      <c r="BR836" s="68"/>
      <c r="BS836" s="68"/>
      <c r="BT836" s="68"/>
      <c r="BU836" s="68"/>
      <c r="BV836" s="68"/>
      <c r="BW836" s="68"/>
      <c r="BX836" s="68"/>
      <c r="BY836" s="68"/>
      <c r="BZ836" s="68"/>
      <c r="CA836" s="68"/>
      <c r="CB836" s="68"/>
      <c r="CC836" s="68"/>
    </row>
    <row r="837" spans="1:81" ht="15.75" x14ac:dyDescent="0.25">
      <c r="A837" s="68"/>
      <c r="B837" s="68"/>
      <c r="C837" s="68"/>
      <c r="D837" s="69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  <c r="AI837" s="68"/>
      <c r="AJ837" s="68"/>
      <c r="AK837" s="68"/>
      <c r="AL837" s="68"/>
      <c r="AM837" s="68"/>
      <c r="AN837" s="68"/>
      <c r="AO837" s="68"/>
      <c r="AP837" s="68"/>
      <c r="AQ837" s="68"/>
      <c r="AR837" s="68"/>
      <c r="AS837" s="68"/>
      <c r="AT837" s="68"/>
      <c r="AU837" s="68"/>
      <c r="AV837" s="68"/>
      <c r="AW837" s="68"/>
      <c r="AX837" s="68"/>
      <c r="AY837" s="68"/>
      <c r="AZ837" s="68"/>
      <c r="BA837" s="68"/>
      <c r="BB837" s="68"/>
      <c r="BC837" s="68"/>
      <c r="BD837" s="68"/>
      <c r="BE837" s="68"/>
      <c r="BF837" s="68"/>
      <c r="BG837" s="68"/>
      <c r="BH837" s="68"/>
      <c r="BI837" s="68"/>
      <c r="BJ837" s="68"/>
      <c r="BK837" s="68"/>
      <c r="BL837" s="68"/>
      <c r="BM837" s="68"/>
      <c r="BN837" s="68"/>
      <c r="BO837" s="68"/>
      <c r="BP837" s="68"/>
      <c r="BQ837" s="68"/>
      <c r="BR837" s="68"/>
      <c r="BS837" s="68"/>
      <c r="BT837" s="68"/>
      <c r="BU837" s="68"/>
      <c r="BV837" s="68"/>
      <c r="BW837" s="68"/>
      <c r="BX837" s="68"/>
      <c r="BY837" s="68"/>
      <c r="BZ837" s="68"/>
      <c r="CA837" s="68"/>
      <c r="CB837" s="68"/>
      <c r="CC837" s="68"/>
    </row>
    <row r="838" spans="1:81" ht="15.75" x14ac:dyDescent="0.25">
      <c r="A838" s="68"/>
      <c r="B838" s="68"/>
      <c r="C838" s="68"/>
      <c r="D838" s="69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  <c r="AI838" s="68"/>
      <c r="AJ838" s="68"/>
      <c r="AK838" s="68"/>
      <c r="AL838" s="68"/>
      <c r="AM838" s="68"/>
      <c r="AN838" s="68"/>
      <c r="AO838" s="68"/>
      <c r="AP838" s="68"/>
      <c r="AQ838" s="68"/>
      <c r="AR838" s="68"/>
      <c r="AS838" s="68"/>
      <c r="AT838" s="68"/>
      <c r="AU838" s="68"/>
      <c r="AV838" s="68"/>
      <c r="AW838" s="68"/>
      <c r="AX838" s="68"/>
      <c r="AY838" s="68"/>
      <c r="AZ838" s="68"/>
      <c r="BA838" s="68"/>
      <c r="BB838" s="68"/>
      <c r="BC838" s="68"/>
      <c r="BD838" s="68"/>
      <c r="BE838" s="68"/>
      <c r="BF838" s="68"/>
      <c r="BG838" s="68"/>
      <c r="BH838" s="68"/>
      <c r="BI838" s="68"/>
      <c r="BJ838" s="68"/>
      <c r="BK838" s="68"/>
      <c r="BL838" s="68"/>
      <c r="BM838" s="68"/>
      <c r="BN838" s="68"/>
      <c r="BO838" s="68"/>
      <c r="BP838" s="68"/>
      <c r="BQ838" s="68"/>
      <c r="BR838" s="68"/>
      <c r="BS838" s="68"/>
      <c r="BT838" s="68"/>
      <c r="BU838" s="68"/>
      <c r="BV838" s="68"/>
      <c r="BW838" s="68"/>
      <c r="BX838" s="68"/>
      <c r="BY838" s="68"/>
      <c r="BZ838" s="68"/>
      <c r="CA838" s="68"/>
      <c r="CB838" s="68"/>
      <c r="CC838" s="68"/>
    </row>
    <row r="839" spans="1:81" ht="15.75" x14ac:dyDescent="0.25">
      <c r="A839" s="68"/>
      <c r="B839" s="68"/>
      <c r="C839" s="68"/>
      <c r="D839" s="69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  <c r="AI839" s="68"/>
      <c r="AJ839" s="68"/>
      <c r="AK839" s="68"/>
      <c r="AL839" s="68"/>
      <c r="AM839" s="68"/>
      <c r="AN839" s="68"/>
      <c r="AO839" s="68"/>
      <c r="AP839" s="68"/>
      <c r="AQ839" s="68"/>
      <c r="AR839" s="68"/>
      <c r="AS839" s="68"/>
      <c r="AT839" s="68"/>
      <c r="AU839" s="68"/>
      <c r="AV839" s="68"/>
      <c r="AW839" s="68"/>
      <c r="AX839" s="68"/>
      <c r="AY839" s="68"/>
      <c r="AZ839" s="68"/>
      <c r="BA839" s="68"/>
      <c r="BB839" s="68"/>
      <c r="BC839" s="68"/>
      <c r="BD839" s="68"/>
      <c r="BE839" s="68"/>
      <c r="BF839" s="68"/>
      <c r="BG839" s="68"/>
      <c r="BH839" s="68"/>
      <c r="BI839" s="68"/>
      <c r="BJ839" s="68"/>
      <c r="BK839" s="68"/>
      <c r="BL839" s="68"/>
      <c r="BM839" s="68"/>
      <c r="BN839" s="68"/>
      <c r="BO839" s="68"/>
      <c r="BP839" s="68"/>
      <c r="BQ839" s="68"/>
      <c r="BR839" s="68"/>
      <c r="BS839" s="68"/>
      <c r="BT839" s="68"/>
      <c r="BU839" s="68"/>
      <c r="BV839" s="68"/>
      <c r="BW839" s="68"/>
      <c r="BX839" s="68"/>
      <c r="BY839" s="68"/>
      <c r="BZ839" s="68"/>
      <c r="CA839" s="68"/>
      <c r="CB839" s="68"/>
      <c r="CC839" s="68"/>
    </row>
    <row r="840" spans="1:81" ht="15.75" x14ac:dyDescent="0.25">
      <c r="A840" s="68"/>
      <c r="B840" s="68"/>
      <c r="C840" s="68"/>
      <c r="D840" s="69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  <c r="AI840" s="68"/>
      <c r="AJ840" s="68"/>
      <c r="AK840" s="68"/>
      <c r="AL840" s="68"/>
      <c r="AM840" s="68"/>
      <c r="AN840" s="68"/>
      <c r="AO840" s="68"/>
      <c r="AP840" s="68"/>
      <c r="AQ840" s="68"/>
      <c r="AR840" s="68"/>
      <c r="AS840" s="68"/>
      <c r="AT840" s="68"/>
      <c r="AU840" s="68"/>
      <c r="AV840" s="68"/>
      <c r="AW840" s="68"/>
      <c r="AX840" s="68"/>
      <c r="AY840" s="68"/>
      <c r="AZ840" s="68"/>
      <c r="BA840" s="68"/>
      <c r="BB840" s="68"/>
      <c r="BC840" s="68"/>
      <c r="BD840" s="68"/>
      <c r="BE840" s="68"/>
      <c r="BF840" s="68"/>
      <c r="BG840" s="68"/>
      <c r="BH840" s="68"/>
      <c r="BI840" s="68"/>
      <c r="BJ840" s="68"/>
      <c r="BK840" s="68"/>
      <c r="BL840" s="68"/>
      <c r="BM840" s="68"/>
      <c r="BN840" s="68"/>
      <c r="BO840" s="68"/>
      <c r="BP840" s="68"/>
      <c r="BQ840" s="68"/>
      <c r="BR840" s="68"/>
      <c r="BS840" s="68"/>
      <c r="BT840" s="68"/>
      <c r="BU840" s="68"/>
      <c r="BV840" s="68"/>
      <c r="BW840" s="68"/>
      <c r="BX840" s="68"/>
      <c r="BY840" s="68"/>
      <c r="BZ840" s="68"/>
      <c r="CA840" s="68"/>
      <c r="CB840" s="68"/>
      <c r="CC840" s="68"/>
    </row>
    <row r="841" spans="1:81" ht="15.75" x14ac:dyDescent="0.25">
      <c r="A841" s="68"/>
      <c r="B841" s="68"/>
      <c r="C841" s="68"/>
      <c r="D841" s="69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  <c r="AI841" s="68"/>
      <c r="AJ841" s="68"/>
      <c r="AK841" s="68"/>
      <c r="AL841" s="68"/>
      <c r="AM841" s="68"/>
      <c r="AN841" s="68"/>
      <c r="AO841" s="68"/>
      <c r="AP841" s="68"/>
      <c r="AQ841" s="68"/>
      <c r="AR841" s="68"/>
      <c r="AS841" s="68"/>
      <c r="AT841" s="68"/>
      <c r="AU841" s="68"/>
      <c r="AV841" s="68"/>
      <c r="AW841" s="68"/>
      <c r="AX841" s="68"/>
      <c r="AY841" s="68"/>
      <c r="AZ841" s="68"/>
      <c r="BA841" s="68"/>
      <c r="BB841" s="68"/>
      <c r="BC841" s="68"/>
      <c r="BD841" s="68"/>
      <c r="BE841" s="68"/>
      <c r="BF841" s="68"/>
      <c r="BG841" s="68"/>
      <c r="BH841" s="68"/>
      <c r="BI841" s="68"/>
      <c r="BJ841" s="68"/>
      <c r="BK841" s="68"/>
      <c r="BL841" s="68"/>
      <c r="BM841" s="68"/>
      <c r="BN841" s="68"/>
      <c r="BO841" s="68"/>
      <c r="BP841" s="68"/>
      <c r="BQ841" s="68"/>
      <c r="BR841" s="68"/>
      <c r="BS841" s="68"/>
      <c r="BT841" s="68"/>
      <c r="BU841" s="68"/>
      <c r="BV841" s="68"/>
      <c r="BW841" s="68"/>
      <c r="BX841" s="68"/>
      <c r="BY841" s="68"/>
      <c r="BZ841" s="68"/>
      <c r="CA841" s="68"/>
      <c r="CB841" s="68"/>
      <c r="CC841" s="68"/>
    </row>
    <row r="842" spans="1:81" ht="15.75" x14ac:dyDescent="0.25">
      <c r="A842" s="68"/>
      <c r="B842" s="68"/>
      <c r="C842" s="68"/>
      <c r="D842" s="69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  <c r="AH842" s="68"/>
      <c r="AI842" s="68"/>
      <c r="AJ842" s="68"/>
      <c r="AK842" s="68"/>
      <c r="AL842" s="68"/>
      <c r="AM842" s="68"/>
      <c r="AN842" s="68"/>
      <c r="AO842" s="68"/>
      <c r="AP842" s="68"/>
      <c r="AQ842" s="68"/>
      <c r="AR842" s="68"/>
      <c r="AS842" s="68"/>
      <c r="AT842" s="68"/>
      <c r="AU842" s="68"/>
      <c r="AV842" s="68"/>
      <c r="AW842" s="68"/>
      <c r="AX842" s="68"/>
      <c r="AY842" s="68"/>
      <c r="AZ842" s="68"/>
      <c r="BA842" s="68"/>
      <c r="BB842" s="68"/>
      <c r="BC842" s="68"/>
      <c r="BD842" s="68"/>
      <c r="BE842" s="68"/>
      <c r="BF842" s="68"/>
      <c r="BG842" s="68"/>
      <c r="BH842" s="68"/>
      <c r="BI842" s="68"/>
      <c r="BJ842" s="68"/>
      <c r="BK842" s="68"/>
      <c r="BL842" s="68"/>
      <c r="BM842" s="68"/>
      <c r="BN842" s="68"/>
      <c r="BO842" s="68"/>
      <c r="BP842" s="68"/>
      <c r="BQ842" s="68"/>
      <c r="BR842" s="68"/>
      <c r="BS842" s="68"/>
      <c r="BT842" s="68"/>
      <c r="BU842" s="68"/>
      <c r="BV842" s="68"/>
      <c r="BW842" s="68"/>
      <c r="BX842" s="68"/>
      <c r="BY842" s="68"/>
      <c r="BZ842" s="68"/>
      <c r="CA842" s="68"/>
      <c r="CB842" s="68"/>
      <c r="CC842" s="68"/>
    </row>
    <row r="843" spans="1:81" ht="15.75" x14ac:dyDescent="0.25">
      <c r="A843" s="68"/>
      <c r="B843" s="68"/>
      <c r="C843" s="68"/>
      <c r="D843" s="69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  <c r="AI843" s="68"/>
      <c r="AJ843" s="68"/>
      <c r="AK843" s="68"/>
      <c r="AL843" s="68"/>
      <c r="AM843" s="68"/>
      <c r="AN843" s="68"/>
      <c r="AO843" s="68"/>
      <c r="AP843" s="68"/>
      <c r="AQ843" s="68"/>
      <c r="AR843" s="68"/>
      <c r="AS843" s="68"/>
      <c r="AT843" s="68"/>
      <c r="AU843" s="68"/>
      <c r="AV843" s="68"/>
      <c r="AW843" s="68"/>
      <c r="AX843" s="68"/>
      <c r="AY843" s="68"/>
      <c r="AZ843" s="68"/>
      <c r="BA843" s="68"/>
      <c r="BB843" s="68"/>
      <c r="BC843" s="68"/>
      <c r="BD843" s="68"/>
      <c r="BE843" s="68"/>
      <c r="BF843" s="68"/>
      <c r="BG843" s="68"/>
      <c r="BH843" s="68"/>
      <c r="BI843" s="68"/>
      <c r="BJ843" s="68"/>
      <c r="BK843" s="68"/>
      <c r="BL843" s="68"/>
      <c r="BM843" s="68"/>
      <c r="BN843" s="68"/>
      <c r="BO843" s="68"/>
      <c r="BP843" s="68"/>
      <c r="BQ843" s="68"/>
      <c r="BR843" s="68"/>
      <c r="BS843" s="68"/>
      <c r="BT843" s="68"/>
      <c r="BU843" s="68"/>
      <c r="BV843" s="68"/>
      <c r="BW843" s="68"/>
      <c r="BX843" s="68"/>
      <c r="BY843" s="68"/>
      <c r="BZ843" s="68"/>
      <c r="CA843" s="68"/>
      <c r="CB843" s="68"/>
      <c r="CC843" s="68"/>
    </row>
    <row r="844" spans="1:81" ht="15.75" x14ac:dyDescent="0.25">
      <c r="A844" s="68"/>
      <c r="B844" s="68"/>
      <c r="C844" s="68"/>
      <c r="D844" s="69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  <c r="AI844" s="68"/>
      <c r="AJ844" s="68"/>
      <c r="AK844" s="68"/>
      <c r="AL844" s="68"/>
      <c r="AM844" s="68"/>
      <c r="AN844" s="68"/>
      <c r="AO844" s="68"/>
      <c r="AP844" s="68"/>
      <c r="AQ844" s="68"/>
      <c r="AR844" s="68"/>
      <c r="AS844" s="68"/>
      <c r="AT844" s="68"/>
      <c r="AU844" s="68"/>
      <c r="AV844" s="68"/>
      <c r="AW844" s="68"/>
      <c r="AX844" s="68"/>
      <c r="AY844" s="68"/>
      <c r="AZ844" s="68"/>
      <c r="BA844" s="68"/>
      <c r="BB844" s="68"/>
      <c r="BC844" s="68"/>
      <c r="BD844" s="68"/>
      <c r="BE844" s="68"/>
      <c r="BF844" s="68"/>
      <c r="BG844" s="68"/>
      <c r="BH844" s="68"/>
      <c r="BI844" s="68"/>
      <c r="BJ844" s="68"/>
      <c r="BK844" s="68"/>
      <c r="BL844" s="68"/>
      <c r="BM844" s="68"/>
      <c r="BN844" s="68"/>
      <c r="BO844" s="68"/>
      <c r="BP844" s="68"/>
      <c r="BQ844" s="68"/>
      <c r="BR844" s="68"/>
      <c r="BS844" s="68"/>
      <c r="BT844" s="68"/>
      <c r="BU844" s="68"/>
      <c r="BV844" s="68"/>
      <c r="BW844" s="68"/>
      <c r="BX844" s="68"/>
      <c r="BY844" s="68"/>
      <c r="BZ844" s="68"/>
      <c r="CA844" s="68"/>
      <c r="CB844" s="68"/>
      <c r="CC844" s="68"/>
    </row>
    <row r="845" spans="1:81" ht="15.75" x14ac:dyDescent="0.25">
      <c r="A845" s="68"/>
      <c r="B845" s="68"/>
      <c r="C845" s="68"/>
      <c r="D845" s="69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  <c r="AI845" s="68"/>
      <c r="AJ845" s="68"/>
      <c r="AK845" s="68"/>
      <c r="AL845" s="68"/>
      <c r="AM845" s="68"/>
      <c r="AN845" s="68"/>
      <c r="AO845" s="68"/>
      <c r="AP845" s="68"/>
      <c r="AQ845" s="68"/>
      <c r="AR845" s="68"/>
      <c r="AS845" s="68"/>
      <c r="AT845" s="68"/>
      <c r="AU845" s="68"/>
      <c r="AV845" s="68"/>
      <c r="AW845" s="68"/>
      <c r="AX845" s="68"/>
      <c r="AY845" s="68"/>
      <c r="AZ845" s="68"/>
      <c r="BA845" s="68"/>
      <c r="BB845" s="68"/>
      <c r="BC845" s="68"/>
      <c r="BD845" s="68"/>
      <c r="BE845" s="68"/>
      <c r="BF845" s="68"/>
      <c r="BG845" s="68"/>
      <c r="BH845" s="68"/>
      <c r="BI845" s="68"/>
      <c r="BJ845" s="68"/>
      <c r="BK845" s="68"/>
      <c r="BL845" s="68"/>
      <c r="BM845" s="68"/>
      <c r="BN845" s="68"/>
      <c r="BO845" s="68"/>
      <c r="BP845" s="68"/>
      <c r="BQ845" s="68"/>
      <c r="BR845" s="68"/>
      <c r="BS845" s="68"/>
      <c r="BT845" s="68"/>
      <c r="BU845" s="68"/>
      <c r="BV845" s="68"/>
      <c r="BW845" s="68"/>
      <c r="BX845" s="68"/>
      <c r="BY845" s="68"/>
      <c r="BZ845" s="68"/>
      <c r="CA845" s="68"/>
      <c r="CB845" s="68"/>
      <c r="CC845" s="68"/>
    </row>
    <row r="846" spans="1:81" ht="15.75" x14ac:dyDescent="0.25">
      <c r="A846" s="68"/>
      <c r="B846" s="68"/>
      <c r="C846" s="68"/>
      <c r="D846" s="69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  <c r="AI846" s="68"/>
      <c r="AJ846" s="68"/>
      <c r="AK846" s="68"/>
      <c r="AL846" s="68"/>
      <c r="AM846" s="68"/>
      <c r="AN846" s="68"/>
      <c r="AO846" s="68"/>
      <c r="AP846" s="68"/>
      <c r="AQ846" s="68"/>
      <c r="AR846" s="68"/>
      <c r="AS846" s="68"/>
      <c r="AT846" s="68"/>
      <c r="AU846" s="68"/>
      <c r="AV846" s="68"/>
      <c r="AW846" s="68"/>
      <c r="AX846" s="68"/>
      <c r="AY846" s="68"/>
      <c r="AZ846" s="68"/>
      <c r="BA846" s="68"/>
      <c r="BB846" s="68"/>
      <c r="BC846" s="68"/>
      <c r="BD846" s="68"/>
      <c r="BE846" s="68"/>
      <c r="BF846" s="68"/>
      <c r="BG846" s="68"/>
      <c r="BH846" s="68"/>
      <c r="BI846" s="68"/>
      <c r="BJ846" s="68"/>
      <c r="BK846" s="68"/>
      <c r="BL846" s="68"/>
      <c r="BM846" s="68"/>
      <c r="BN846" s="68"/>
      <c r="BO846" s="68"/>
      <c r="BP846" s="68"/>
      <c r="BQ846" s="68"/>
      <c r="BR846" s="68"/>
      <c r="BS846" s="68"/>
      <c r="BT846" s="68"/>
      <c r="BU846" s="68"/>
      <c r="BV846" s="68"/>
      <c r="BW846" s="68"/>
      <c r="BX846" s="68"/>
      <c r="BY846" s="68"/>
      <c r="BZ846" s="68"/>
      <c r="CA846" s="68"/>
      <c r="CB846" s="68"/>
      <c r="CC846" s="68"/>
    </row>
    <row r="847" spans="1:81" ht="15.75" x14ac:dyDescent="0.25">
      <c r="A847" s="68"/>
      <c r="B847" s="68"/>
      <c r="C847" s="68"/>
      <c r="D847" s="69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  <c r="AI847" s="68"/>
      <c r="AJ847" s="68"/>
      <c r="AK847" s="68"/>
      <c r="AL847" s="68"/>
      <c r="AM847" s="68"/>
      <c r="AN847" s="68"/>
      <c r="AO847" s="68"/>
      <c r="AP847" s="68"/>
      <c r="AQ847" s="68"/>
      <c r="AR847" s="68"/>
      <c r="AS847" s="68"/>
      <c r="AT847" s="68"/>
      <c r="AU847" s="68"/>
      <c r="AV847" s="68"/>
      <c r="AW847" s="68"/>
      <c r="AX847" s="68"/>
      <c r="AY847" s="68"/>
      <c r="AZ847" s="68"/>
      <c r="BA847" s="68"/>
      <c r="BB847" s="68"/>
      <c r="BC847" s="68"/>
      <c r="BD847" s="68"/>
      <c r="BE847" s="68"/>
      <c r="BF847" s="68"/>
      <c r="BG847" s="68"/>
      <c r="BH847" s="68"/>
      <c r="BI847" s="68"/>
      <c r="BJ847" s="68"/>
      <c r="BK847" s="68"/>
      <c r="BL847" s="68"/>
      <c r="BM847" s="68"/>
      <c r="BN847" s="68"/>
      <c r="BO847" s="68"/>
      <c r="BP847" s="68"/>
      <c r="BQ847" s="68"/>
      <c r="BR847" s="68"/>
      <c r="BS847" s="68"/>
      <c r="BT847" s="68"/>
      <c r="BU847" s="68"/>
      <c r="BV847" s="68"/>
      <c r="BW847" s="68"/>
      <c r="BX847" s="68"/>
      <c r="BY847" s="68"/>
      <c r="BZ847" s="68"/>
      <c r="CA847" s="68"/>
      <c r="CB847" s="68"/>
      <c r="CC847" s="68"/>
    </row>
    <row r="848" spans="1:81" ht="15.75" x14ac:dyDescent="0.25">
      <c r="A848" s="68"/>
      <c r="B848" s="68"/>
      <c r="C848" s="68"/>
      <c r="D848" s="69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  <c r="AI848" s="68"/>
      <c r="AJ848" s="68"/>
      <c r="AK848" s="68"/>
      <c r="AL848" s="68"/>
      <c r="AM848" s="68"/>
      <c r="AN848" s="68"/>
      <c r="AO848" s="68"/>
      <c r="AP848" s="68"/>
      <c r="AQ848" s="68"/>
      <c r="AR848" s="68"/>
      <c r="AS848" s="68"/>
      <c r="AT848" s="68"/>
      <c r="AU848" s="68"/>
      <c r="AV848" s="68"/>
      <c r="AW848" s="68"/>
      <c r="AX848" s="68"/>
      <c r="AY848" s="68"/>
      <c r="AZ848" s="68"/>
      <c r="BA848" s="68"/>
      <c r="BB848" s="68"/>
      <c r="BC848" s="68"/>
      <c r="BD848" s="68"/>
      <c r="BE848" s="68"/>
      <c r="BF848" s="68"/>
      <c r="BG848" s="68"/>
      <c r="BH848" s="68"/>
      <c r="BI848" s="68"/>
      <c r="BJ848" s="68"/>
      <c r="BK848" s="68"/>
      <c r="BL848" s="68"/>
      <c r="BM848" s="68"/>
      <c r="BN848" s="68"/>
      <c r="BO848" s="68"/>
      <c r="BP848" s="68"/>
      <c r="BQ848" s="68"/>
      <c r="BR848" s="68"/>
      <c r="BS848" s="68"/>
      <c r="BT848" s="68"/>
      <c r="BU848" s="68"/>
      <c r="BV848" s="68"/>
      <c r="BW848" s="68"/>
      <c r="BX848" s="68"/>
      <c r="BY848" s="68"/>
      <c r="BZ848" s="68"/>
      <c r="CA848" s="68"/>
      <c r="CB848" s="68"/>
      <c r="CC848" s="68"/>
    </row>
    <row r="849" spans="1:81" ht="15.75" x14ac:dyDescent="0.25">
      <c r="A849" s="68"/>
      <c r="B849" s="68"/>
      <c r="C849" s="68"/>
      <c r="D849" s="69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  <c r="AI849" s="68"/>
      <c r="AJ849" s="68"/>
      <c r="AK849" s="68"/>
      <c r="AL849" s="68"/>
      <c r="AM849" s="68"/>
      <c r="AN849" s="68"/>
      <c r="AO849" s="68"/>
      <c r="AP849" s="68"/>
      <c r="AQ849" s="68"/>
      <c r="AR849" s="68"/>
      <c r="AS849" s="68"/>
      <c r="AT849" s="68"/>
      <c r="AU849" s="68"/>
      <c r="AV849" s="68"/>
      <c r="AW849" s="68"/>
      <c r="AX849" s="68"/>
      <c r="AY849" s="68"/>
      <c r="AZ849" s="68"/>
      <c r="BA849" s="68"/>
      <c r="BB849" s="68"/>
      <c r="BC849" s="68"/>
      <c r="BD849" s="68"/>
      <c r="BE849" s="68"/>
      <c r="BF849" s="68"/>
      <c r="BG849" s="68"/>
      <c r="BH849" s="68"/>
      <c r="BI849" s="68"/>
      <c r="BJ849" s="68"/>
      <c r="BK849" s="68"/>
      <c r="BL849" s="68"/>
      <c r="BM849" s="68"/>
      <c r="BN849" s="68"/>
      <c r="BO849" s="68"/>
      <c r="BP849" s="68"/>
      <c r="BQ849" s="68"/>
      <c r="BR849" s="68"/>
      <c r="BS849" s="68"/>
      <c r="BT849" s="68"/>
      <c r="BU849" s="68"/>
      <c r="BV849" s="68"/>
      <c r="BW849" s="68"/>
      <c r="BX849" s="68"/>
      <c r="BY849" s="68"/>
      <c r="BZ849" s="68"/>
      <c r="CA849" s="68"/>
      <c r="CB849" s="68"/>
      <c r="CC849" s="68"/>
    </row>
    <row r="850" spans="1:81" ht="15.75" x14ac:dyDescent="0.25">
      <c r="A850" s="68"/>
      <c r="B850" s="68"/>
      <c r="C850" s="68"/>
      <c r="D850" s="69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  <c r="AI850" s="68"/>
      <c r="AJ850" s="68"/>
      <c r="AK850" s="68"/>
      <c r="AL850" s="68"/>
      <c r="AM850" s="68"/>
      <c r="AN850" s="68"/>
      <c r="AO850" s="68"/>
      <c r="AP850" s="68"/>
      <c r="AQ850" s="68"/>
      <c r="AR850" s="68"/>
      <c r="AS850" s="68"/>
      <c r="AT850" s="68"/>
      <c r="AU850" s="68"/>
      <c r="AV850" s="68"/>
      <c r="AW850" s="68"/>
      <c r="AX850" s="68"/>
      <c r="AY850" s="68"/>
      <c r="AZ850" s="68"/>
      <c r="BA850" s="68"/>
      <c r="BB850" s="68"/>
      <c r="BC850" s="68"/>
      <c r="BD850" s="68"/>
      <c r="BE850" s="68"/>
      <c r="BF850" s="68"/>
      <c r="BG850" s="68"/>
      <c r="BH850" s="68"/>
      <c r="BI850" s="68"/>
      <c r="BJ850" s="68"/>
      <c r="BK850" s="68"/>
      <c r="BL850" s="68"/>
      <c r="BM850" s="68"/>
      <c r="BN850" s="68"/>
      <c r="BO850" s="68"/>
      <c r="BP850" s="68"/>
      <c r="BQ850" s="68"/>
      <c r="BR850" s="68"/>
      <c r="BS850" s="68"/>
      <c r="BT850" s="68"/>
      <c r="BU850" s="68"/>
      <c r="BV850" s="68"/>
      <c r="BW850" s="68"/>
      <c r="BX850" s="68"/>
      <c r="BY850" s="68"/>
      <c r="BZ850" s="68"/>
      <c r="CA850" s="68"/>
      <c r="CB850" s="68"/>
      <c r="CC850" s="68"/>
    </row>
    <row r="851" spans="1:81" ht="15.75" x14ac:dyDescent="0.25">
      <c r="A851" s="68"/>
      <c r="B851" s="68"/>
      <c r="C851" s="68"/>
      <c r="D851" s="69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  <c r="AI851" s="68"/>
      <c r="AJ851" s="68"/>
      <c r="AK851" s="68"/>
      <c r="AL851" s="68"/>
      <c r="AM851" s="68"/>
      <c r="AN851" s="68"/>
      <c r="AO851" s="68"/>
      <c r="AP851" s="68"/>
      <c r="AQ851" s="68"/>
      <c r="AR851" s="68"/>
      <c r="AS851" s="68"/>
      <c r="AT851" s="68"/>
      <c r="AU851" s="68"/>
      <c r="AV851" s="68"/>
      <c r="AW851" s="68"/>
      <c r="AX851" s="68"/>
      <c r="AY851" s="68"/>
      <c r="AZ851" s="68"/>
      <c r="BA851" s="68"/>
      <c r="BB851" s="68"/>
      <c r="BC851" s="68"/>
      <c r="BD851" s="68"/>
      <c r="BE851" s="68"/>
      <c r="BF851" s="68"/>
      <c r="BG851" s="68"/>
      <c r="BH851" s="68"/>
      <c r="BI851" s="68"/>
      <c r="BJ851" s="68"/>
      <c r="BK851" s="68"/>
      <c r="BL851" s="68"/>
      <c r="BM851" s="68"/>
      <c r="BN851" s="68"/>
      <c r="BO851" s="68"/>
      <c r="BP851" s="68"/>
      <c r="BQ851" s="68"/>
      <c r="BR851" s="68"/>
      <c r="BS851" s="68"/>
      <c r="BT851" s="68"/>
      <c r="BU851" s="68"/>
      <c r="BV851" s="68"/>
      <c r="BW851" s="68"/>
      <c r="BX851" s="68"/>
      <c r="BY851" s="68"/>
      <c r="BZ851" s="68"/>
      <c r="CA851" s="68"/>
      <c r="CB851" s="68"/>
      <c r="CC851" s="68"/>
    </row>
    <row r="852" spans="1:81" ht="15.75" x14ac:dyDescent="0.25">
      <c r="A852" s="68"/>
      <c r="B852" s="68"/>
      <c r="C852" s="68"/>
      <c r="D852" s="69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  <c r="AI852" s="68"/>
      <c r="AJ852" s="68"/>
      <c r="AK852" s="68"/>
      <c r="AL852" s="68"/>
      <c r="AM852" s="68"/>
      <c r="AN852" s="68"/>
      <c r="AO852" s="68"/>
      <c r="AP852" s="68"/>
      <c r="AQ852" s="68"/>
      <c r="AR852" s="68"/>
      <c r="AS852" s="68"/>
      <c r="AT852" s="68"/>
      <c r="AU852" s="68"/>
      <c r="AV852" s="68"/>
      <c r="AW852" s="68"/>
      <c r="AX852" s="68"/>
      <c r="AY852" s="68"/>
      <c r="AZ852" s="68"/>
      <c r="BA852" s="68"/>
      <c r="BB852" s="68"/>
      <c r="BC852" s="68"/>
      <c r="BD852" s="68"/>
      <c r="BE852" s="68"/>
      <c r="BF852" s="68"/>
      <c r="BG852" s="68"/>
      <c r="BH852" s="68"/>
      <c r="BI852" s="68"/>
      <c r="BJ852" s="68"/>
      <c r="BK852" s="68"/>
      <c r="BL852" s="68"/>
      <c r="BM852" s="68"/>
      <c r="BN852" s="68"/>
      <c r="BO852" s="68"/>
      <c r="BP852" s="68"/>
      <c r="BQ852" s="68"/>
      <c r="BR852" s="68"/>
      <c r="BS852" s="68"/>
      <c r="BT852" s="68"/>
      <c r="BU852" s="68"/>
      <c r="BV852" s="68"/>
      <c r="BW852" s="68"/>
      <c r="BX852" s="68"/>
      <c r="BY852" s="68"/>
      <c r="BZ852" s="68"/>
      <c r="CA852" s="68"/>
      <c r="CB852" s="68"/>
      <c r="CC852" s="68"/>
    </row>
    <row r="853" spans="1:81" ht="15.75" x14ac:dyDescent="0.25">
      <c r="A853" s="68"/>
      <c r="B853" s="68"/>
      <c r="C853" s="68"/>
      <c r="D853" s="69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  <c r="AI853" s="68"/>
      <c r="AJ853" s="68"/>
      <c r="AK853" s="68"/>
      <c r="AL853" s="68"/>
      <c r="AM853" s="68"/>
      <c r="AN853" s="68"/>
      <c r="AO853" s="68"/>
      <c r="AP853" s="68"/>
      <c r="AQ853" s="68"/>
      <c r="AR853" s="68"/>
      <c r="AS853" s="68"/>
      <c r="AT853" s="68"/>
      <c r="AU853" s="68"/>
      <c r="AV853" s="68"/>
      <c r="AW853" s="68"/>
      <c r="AX853" s="68"/>
      <c r="AY853" s="68"/>
      <c r="AZ853" s="68"/>
      <c r="BA853" s="68"/>
      <c r="BB853" s="68"/>
      <c r="BC853" s="68"/>
      <c r="BD853" s="68"/>
      <c r="BE853" s="68"/>
      <c r="BF853" s="68"/>
      <c r="BG853" s="68"/>
      <c r="BH853" s="68"/>
      <c r="BI853" s="68"/>
      <c r="BJ853" s="68"/>
      <c r="BK853" s="68"/>
      <c r="BL853" s="68"/>
      <c r="BM853" s="68"/>
      <c r="BN853" s="68"/>
      <c r="BO853" s="68"/>
      <c r="BP853" s="68"/>
      <c r="BQ853" s="68"/>
      <c r="BR853" s="68"/>
      <c r="BS853" s="68"/>
      <c r="BT853" s="68"/>
      <c r="BU853" s="68"/>
      <c r="BV853" s="68"/>
      <c r="BW853" s="68"/>
      <c r="BX853" s="68"/>
      <c r="BY853" s="68"/>
      <c r="BZ853" s="68"/>
      <c r="CA853" s="68"/>
      <c r="CB853" s="68"/>
      <c r="CC853" s="68"/>
    </row>
    <row r="854" spans="1:81" ht="15.75" x14ac:dyDescent="0.25">
      <c r="A854" s="68"/>
      <c r="B854" s="68"/>
      <c r="C854" s="68"/>
      <c r="D854" s="69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  <c r="AI854" s="68"/>
      <c r="AJ854" s="68"/>
      <c r="AK854" s="68"/>
      <c r="AL854" s="68"/>
      <c r="AM854" s="68"/>
      <c r="AN854" s="68"/>
      <c r="AO854" s="68"/>
      <c r="AP854" s="68"/>
      <c r="AQ854" s="68"/>
      <c r="AR854" s="68"/>
      <c r="AS854" s="68"/>
      <c r="AT854" s="68"/>
      <c r="AU854" s="68"/>
      <c r="AV854" s="68"/>
      <c r="AW854" s="68"/>
      <c r="AX854" s="68"/>
      <c r="AY854" s="68"/>
      <c r="AZ854" s="68"/>
      <c r="BA854" s="68"/>
      <c r="BB854" s="68"/>
      <c r="BC854" s="68"/>
      <c r="BD854" s="68"/>
      <c r="BE854" s="68"/>
      <c r="BF854" s="68"/>
      <c r="BG854" s="68"/>
      <c r="BH854" s="68"/>
      <c r="BI854" s="68"/>
      <c r="BJ854" s="68"/>
      <c r="BK854" s="68"/>
      <c r="BL854" s="68"/>
      <c r="BM854" s="68"/>
      <c r="BN854" s="68"/>
      <c r="BO854" s="68"/>
      <c r="BP854" s="68"/>
      <c r="BQ854" s="68"/>
      <c r="BR854" s="68"/>
      <c r="BS854" s="68"/>
      <c r="BT854" s="68"/>
      <c r="BU854" s="68"/>
      <c r="BV854" s="68"/>
      <c r="BW854" s="68"/>
      <c r="BX854" s="68"/>
      <c r="BY854" s="68"/>
      <c r="BZ854" s="68"/>
      <c r="CA854" s="68"/>
      <c r="CB854" s="68"/>
      <c r="CC854" s="68"/>
    </row>
    <row r="855" spans="1:81" ht="15.75" x14ac:dyDescent="0.25">
      <c r="A855" s="68"/>
      <c r="B855" s="68"/>
      <c r="C855" s="68"/>
      <c r="D855" s="69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  <c r="AI855" s="68"/>
      <c r="AJ855" s="68"/>
      <c r="AK855" s="68"/>
      <c r="AL855" s="68"/>
      <c r="AM855" s="68"/>
      <c r="AN855" s="68"/>
      <c r="AO855" s="68"/>
      <c r="AP855" s="68"/>
      <c r="AQ855" s="68"/>
      <c r="AR855" s="68"/>
      <c r="AS855" s="68"/>
      <c r="AT855" s="68"/>
      <c r="AU855" s="68"/>
      <c r="AV855" s="68"/>
      <c r="AW855" s="68"/>
      <c r="AX855" s="68"/>
      <c r="AY855" s="68"/>
      <c r="AZ855" s="68"/>
      <c r="BA855" s="68"/>
      <c r="BB855" s="68"/>
      <c r="BC855" s="68"/>
      <c r="BD855" s="68"/>
      <c r="BE855" s="68"/>
      <c r="BF855" s="68"/>
      <c r="BG855" s="68"/>
      <c r="BH855" s="68"/>
      <c r="BI855" s="68"/>
      <c r="BJ855" s="68"/>
      <c r="BK855" s="68"/>
      <c r="BL855" s="68"/>
      <c r="BM855" s="68"/>
      <c r="BN855" s="68"/>
      <c r="BO855" s="68"/>
      <c r="BP855" s="68"/>
      <c r="BQ855" s="68"/>
      <c r="BR855" s="68"/>
      <c r="BS855" s="68"/>
      <c r="BT855" s="68"/>
      <c r="BU855" s="68"/>
      <c r="BV855" s="68"/>
      <c r="BW855" s="68"/>
      <c r="BX855" s="68"/>
      <c r="BY855" s="68"/>
      <c r="BZ855" s="68"/>
      <c r="CA855" s="68"/>
      <c r="CB855" s="68"/>
      <c r="CC855" s="68"/>
    </row>
    <row r="856" spans="1:81" ht="15.75" x14ac:dyDescent="0.25">
      <c r="A856" s="68"/>
      <c r="B856" s="68"/>
      <c r="C856" s="68"/>
      <c r="D856" s="69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  <c r="AI856" s="68"/>
      <c r="AJ856" s="68"/>
      <c r="AK856" s="68"/>
      <c r="AL856" s="68"/>
      <c r="AM856" s="68"/>
      <c r="AN856" s="68"/>
      <c r="AO856" s="68"/>
      <c r="AP856" s="68"/>
      <c r="AQ856" s="68"/>
      <c r="AR856" s="68"/>
      <c r="AS856" s="68"/>
      <c r="AT856" s="68"/>
      <c r="AU856" s="68"/>
      <c r="AV856" s="68"/>
      <c r="AW856" s="68"/>
      <c r="AX856" s="68"/>
      <c r="AY856" s="68"/>
      <c r="AZ856" s="68"/>
      <c r="BA856" s="68"/>
      <c r="BB856" s="68"/>
      <c r="BC856" s="68"/>
      <c r="BD856" s="68"/>
      <c r="BE856" s="68"/>
      <c r="BF856" s="68"/>
      <c r="BG856" s="68"/>
      <c r="BH856" s="68"/>
      <c r="BI856" s="68"/>
      <c r="BJ856" s="68"/>
      <c r="BK856" s="68"/>
      <c r="BL856" s="68"/>
      <c r="BM856" s="68"/>
      <c r="BN856" s="68"/>
      <c r="BO856" s="68"/>
      <c r="BP856" s="68"/>
      <c r="BQ856" s="68"/>
      <c r="BR856" s="68"/>
      <c r="BS856" s="68"/>
      <c r="BT856" s="68"/>
      <c r="BU856" s="68"/>
      <c r="BV856" s="68"/>
      <c r="BW856" s="68"/>
      <c r="BX856" s="68"/>
      <c r="BY856" s="68"/>
      <c r="BZ856" s="68"/>
      <c r="CA856" s="68"/>
      <c r="CB856" s="68"/>
      <c r="CC856" s="68"/>
    </row>
    <row r="857" spans="1:81" ht="15.75" x14ac:dyDescent="0.25">
      <c r="A857" s="68"/>
      <c r="B857" s="68"/>
      <c r="C857" s="68"/>
      <c r="D857" s="69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  <c r="AI857" s="68"/>
      <c r="AJ857" s="68"/>
      <c r="AK857" s="68"/>
      <c r="AL857" s="68"/>
      <c r="AM857" s="68"/>
      <c r="AN857" s="68"/>
      <c r="AO857" s="68"/>
      <c r="AP857" s="68"/>
      <c r="AQ857" s="68"/>
      <c r="AR857" s="68"/>
      <c r="AS857" s="68"/>
      <c r="AT857" s="68"/>
      <c r="AU857" s="68"/>
      <c r="AV857" s="68"/>
      <c r="AW857" s="68"/>
      <c r="AX857" s="68"/>
      <c r="AY857" s="68"/>
      <c r="AZ857" s="68"/>
      <c r="BA857" s="68"/>
      <c r="BB857" s="68"/>
      <c r="BC857" s="68"/>
      <c r="BD857" s="68"/>
      <c r="BE857" s="68"/>
      <c r="BF857" s="68"/>
      <c r="BG857" s="68"/>
      <c r="BH857" s="68"/>
      <c r="BI857" s="68"/>
      <c r="BJ857" s="68"/>
      <c r="BK857" s="68"/>
      <c r="BL857" s="68"/>
      <c r="BM857" s="68"/>
      <c r="BN857" s="68"/>
      <c r="BO857" s="68"/>
      <c r="BP857" s="68"/>
      <c r="BQ857" s="68"/>
      <c r="BR857" s="68"/>
      <c r="BS857" s="68"/>
      <c r="BT857" s="68"/>
      <c r="BU857" s="68"/>
      <c r="BV857" s="68"/>
      <c r="BW857" s="68"/>
      <c r="BX857" s="68"/>
      <c r="BY857" s="68"/>
      <c r="BZ857" s="68"/>
      <c r="CA857" s="68"/>
      <c r="CB857" s="68"/>
      <c r="CC857" s="68"/>
    </row>
    <row r="858" spans="1:81" ht="15.75" x14ac:dyDescent="0.25">
      <c r="A858" s="68"/>
      <c r="B858" s="68"/>
      <c r="C858" s="68"/>
      <c r="D858" s="69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  <c r="AI858" s="68"/>
      <c r="AJ858" s="68"/>
      <c r="AK858" s="68"/>
      <c r="AL858" s="68"/>
      <c r="AM858" s="68"/>
      <c r="AN858" s="68"/>
      <c r="AO858" s="68"/>
      <c r="AP858" s="68"/>
      <c r="AQ858" s="68"/>
      <c r="AR858" s="68"/>
      <c r="AS858" s="68"/>
      <c r="AT858" s="68"/>
      <c r="AU858" s="68"/>
      <c r="AV858" s="68"/>
      <c r="AW858" s="68"/>
      <c r="AX858" s="68"/>
      <c r="AY858" s="68"/>
      <c r="AZ858" s="68"/>
      <c r="BA858" s="68"/>
      <c r="BB858" s="68"/>
      <c r="BC858" s="68"/>
      <c r="BD858" s="68"/>
      <c r="BE858" s="68"/>
      <c r="BF858" s="68"/>
      <c r="BG858" s="68"/>
      <c r="BH858" s="68"/>
      <c r="BI858" s="68"/>
      <c r="BJ858" s="68"/>
      <c r="BK858" s="68"/>
      <c r="BL858" s="68"/>
      <c r="BM858" s="68"/>
      <c r="BN858" s="68"/>
      <c r="BO858" s="68"/>
      <c r="BP858" s="68"/>
      <c r="BQ858" s="68"/>
      <c r="BR858" s="68"/>
      <c r="BS858" s="68"/>
      <c r="BT858" s="68"/>
      <c r="BU858" s="68"/>
      <c r="BV858" s="68"/>
      <c r="BW858" s="68"/>
      <c r="BX858" s="68"/>
      <c r="BY858" s="68"/>
      <c r="BZ858" s="68"/>
      <c r="CA858" s="68"/>
      <c r="CB858" s="68"/>
      <c r="CC858" s="68"/>
    </row>
    <row r="859" spans="1:81" ht="15.75" x14ac:dyDescent="0.25">
      <c r="A859" s="68"/>
      <c r="B859" s="68"/>
      <c r="C859" s="68"/>
      <c r="D859" s="69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  <c r="AI859" s="68"/>
      <c r="AJ859" s="68"/>
      <c r="AK859" s="68"/>
      <c r="AL859" s="68"/>
      <c r="AM859" s="68"/>
      <c r="AN859" s="68"/>
      <c r="AO859" s="68"/>
      <c r="AP859" s="68"/>
      <c r="AQ859" s="68"/>
      <c r="AR859" s="68"/>
      <c r="AS859" s="68"/>
      <c r="AT859" s="68"/>
      <c r="AU859" s="68"/>
      <c r="AV859" s="68"/>
      <c r="AW859" s="68"/>
      <c r="AX859" s="68"/>
      <c r="AY859" s="68"/>
      <c r="AZ859" s="68"/>
      <c r="BA859" s="68"/>
      <c r="BB859" s="68"/>
      <c r="BC859" s="68"/>
      <c r="BD859" s="68"/>
      <c r="BE859" s="68"/>
      <c r="BF859" s="68"/>
      <c r="BG859" s="68"/>
      <c r="BH859" s="68"/>
      <c r="BI859" s="68"/>
      <c r="BJ859" s="68"/>
      <c r="BK859" s="68"/>
      <c r="BL859" s="68"/>
      <c r="BM859" s="68"/>
      <c r="BN859" s="68"/>
      <c r="BO859" s="68"/>
      <c r="BP859" s="68"/>
      <c r="BQ859" s="68"/>
      <c r="BR859" s="68"/>
      <c r="BS859" s="68"/>
      <c r="BT859" s="68"/>
      <c r="BU859" s="68"/>
      <c r="BV859" s="68"/>
      <c r="BW859" s="68"/>
      <c r="BX859" s="68"/>
      <c r="BY859" s="68"/>
      <c r="BZ859" s="68"/>
      <c r="CA859" s="68"/>
      <c r="CB859" s="68"/>
      <c r="CC859" s="68"/>
    </row>
    <row r="860" spans="1:81" ht="15.75" x14ac:dyDescent="0.25">
      <c r="A860" s="68"/>
      <c r="B860" s="68"/>
      <c r="C860" s="68"/>
      <c r="D860" s="69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  <c r="AI860" s="68"/>
      <c r="AJ860" s="68"/>
      <c r="AK860" s="68"/>
      <c r="AL860" s="68"/>
      <c r="AM860" s="68"/>
      <c r="AN860" s="68"/>
      <c r="AO860" s="68"/>
      <c r="AP860" s="68"/>
      <c r="AQ860" s="68"/>
      <c r="AR860" s="68"/>
      <c r="AS860" s="68"/>
      <c r="AT860" s="68"/>
      <c r="AU860" s="68"/>
      <c r="AV860" s="68"/>
      <c r="AW860" s="68"/>
      <c r="AX860" s="68"/>
      <c r="AY860" s="68"/>
      <c r="AZ860" s="68"/>
      <c r="BA860" s="68"/>
      <c r="BB860" s="68"/>
      <c r="BC860" s="68"/>
      <c r="BD860" s="68"/>
      <c r="BE860" s="68"/>
      <c r="BF860" s="68"/>
      <c r="BG860" s="68"/>
      <c r="BH860" s="68"/>
      <c r="BI860" s="68"/>
      <c r="BJ860" s="68"/>
      <c r="BK860" s="68"/>
      <c r="BL860" s="68"/>
      <c r="BM860" s="68"/>
      <c r="BN860" s="68"/>
      <c r="BO860" s="68"/>
      <c r="BP860" s="68"/>
      <c r="BQ860" s="68"/>
      <c r="BR860" s="68"/>
      <c r="BS860" s="68"/>
      <c r="BT860" s="68"/>
      <c r="BU860" s="68"/>
      <c r="BV860" s="68"/>
      <c r="BW860" s="68"/>
      <c r="BX860" s="68"/>
      <c r="BY860" s="68"/>
      <c r="BZ860" s="68"/>
      <c r="CA860" s="68"/>
      <c r="CB860" s="68"/>
      <c r="CC860" s="68"/>
    </row>
    <row r="861" spans="1:81" ht="15.75" x14ac:dyDescent="0.25">
      <c r="A861" s="68"/>
      <c r="B861" s="68"/>
      <c r="C861" s="68"/>
      <c r="D861" s="69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  <c r="AI861" s="68"/>
      <c r="AJ861" s="68"/>
      <c r="AK861" s="68"/>
      <c r="AL861" s="68"/>
      <c r="AM861" s="68"/>
      <c r="AN861" s="68"/>
      <c r="AO861" s="68"/>
      <c r="AP861" s="68"/>
      <c r="AQ861" s="68"/>
      <c r="AR861" s="68"/>
      <c r="AS861" s="68"/>
      <c r="AT861" s="68"/>
      <c r="AU861" s="68"/>
      <c r="AV861" s="68"/>
      <c r="AW861" s="68"/>
      <c r="AX861" s="68"/>
      <c r="AY861" s="68"/>
      <c r="AZ861" s="68"/>
      <c r="BA861" s="68"/>
      <c r="BB861" s="68"/>
      <c r="BC861" s="68"/>
      <c r="BD861" s="68"/>
      <c r="BE861" s="68"/>
      <c r="BF861" s="68"/>
      <c r="BG861" s="68"/>
      <c r="BH861" s="68"/>
      <c r="BI861" s="68"/>
      <c r="BJ861" s="68"/>
      <c r="BK861" s="68"/>
      <c r="BL861" s="68"/>
      <c r="BM861" s="68"/>
      <c r="BN861" s="68"/>
      <c r="BO861" s="68"/>
      <c r="BP861" s="68"/>
      <c r="BQ861" s="68"/>
      <c r="BR861" s="68"/>
      <c r="BS861" s="68"/>
      <c r="BT861" s="68"/>
      <c r="BU861" s="68"/>
      <c r="BV861" s="68"/>
      <c r="BW861" s="68"/>
      <c r="BX861" s="68"/>
      <c r="BY861" s="68"/>
      <c r="BZ861" s="68"/>
      <c r="CA861" s="68"/>
      <c r="CB861" s="68"/>
      <c r="CC861" s="68"/>
    </row>
    <row r="862" spans="1:81" ht="15.75" x14ac:dyDescent="0.25">
      <c r="A862" s="68"/>
      <c r="B862" s="68"/>
      <c r="C862" s="68"/>
      <c r="D862" s="69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  <c r="AI862" s="68"/>
      <c r="AJ862" s="68"/>
      <c r="AK862" s="68"/>
      <c r="AL862" s="68"/>
      <c r="AM862" s="68"/>
      <c r="AN862" s="68"/>
      <c r="AO862" s="68"/>
      <c r="AP862" s="68"/>
      <c r="AQ862" s="68"/>
      <c r="AR862" s="68"/>
      <c r="AS862" s="68"/>
      <c r="AT862" s="68"/>
      <c r="AU862" s="68"/>
      <c r="AV862" s="68"/>
      <c r="AW862" s="68"/>
      <c r="AX862" s="68"/>
      <c r="AY862" s="68"/>
      <c r="AZ862" s="68"/>
      <c r="BA862" s="68"/>
      <c r="BB862" s="68"/>
      <c r="BC862" s="68"/>
      <c r="BD862" s="68"/>
      <c r="BE862" s="68"/>
      <c r="BF862" s="68"/>
      <c r="BG862" s="68"/>
      <c r="BH862" s="68"/>
      <c r="BI862" s="68"/>
      <c r="BJ862" s="68"/>
      <c r="BK862" s="68"/>
      <c r="BL862" s="68"/>
      <c r="BM862" s="68"/>
      <c r="BN862" s="68"/>
      <c r="BO862" s="68"/>
      <c r="BP862" s="68"/>
      <c r="BQ862" s="68"/>
      <c r="BR862" s="68"/>
      <c r="BS862" s="68"/>
      <c r="BT862" s="68"/>
      <c r="BU862" s="68"/>
      <c r="BV862" s="68"/>
      <c r="BW862" s="68"/>
      <c r="BX862" s="68"/>
      <c r="BY862" s="68"/>
      <c r="BZ862" s="68"/>
      <c r="CA862" s="68"/>
      <c r="CB862" s="68"/>
      <c r="CC862" s="68"/>
    </row>
    <row r="863" spans="1:81" ht="15.75" x14ac:dyDescent="0.25">
      <c r="A863" s="68"/>
      <c r="B863" s="68"/>
      <c r="C863" s="68"/>
      <c r="D863" s="69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  <c r="AH863" s="68"/>
      <c r="AI863" s="68"/>
      <c r="AJ863" s="68"/>
      <c r="AK863" s="68"/>
      <c r="AL863" s="68"/>
      <c r="AM863" s="68"/>
      <c r="AN863" s="68"/>
      <c r="AO863" s="68"/>
      <c r="AP863" s="68"/>
      <c r="AQ863" s="68"/>
      <c r="AR863" s="68"/>
      <c r="AS863" s="68"/>
      <c r="AT863" s="68"/>
      <c r="AU863" s="68"/>
      <c r="AV863" s="68"/>
      <c r="AW863" s="68"/>
      <c r="AX863" s="68"/>
      <c r="AY863" s="68"/>
      <c r="AZ863" s="68"/>
      <c r="BA863" s="68"/>
      <c r="BB863" s="68"/>
      <c r="BC863" s="68"/>
      <c r="BD863" s="68"/>
      <c r="BE863" s="68"/>
      <c r="BF863" s="68"/>
      <c r="BG863" s="68"/>
      <c r="BH863" s="68"/>
      <c r="BI863" s="68"/>
      <c r="BJ863" s="68"/>
      <c r="BK863" s="68"/>
      <c r="BL863" s="68"/>
      <c r="BM863" s="68"/>
      <c r="BN863" s="68"/>
      <c r="BO863" s="68"/>
      <c r="BP863" s="68"/>
      <c r="BQ863" s="68"/>
      <c r="BR863" s="68"/>
      <c r="BS863" s="68"/>
      <c r="BT863" s="68"/>
      <c r="BU863" s="68"/>
      <c r="BV863" s="68"/>
      <c r="BW863" s="68"/>
      <c r="BX863" s="68"/>
      <c r="BY863" s="68"/>
      <c r="BZ863" s="68"/>
      <c r="CA863" s="68"/>
      <c r="CB863" s="68"/>
      <c r="CC863" s="68"/>
    </row>
    <row r="864" spans="1:81" ht="15.75" x14ac:dyDescent="0.25">
      <c r="A864" s="68"/>
      <c r="B864" s="68"/>
      <c r="C864" s="68"/>
      <c r="D864" s="69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  <c r="AI864" s="68"/>
      <c r="AJ864" s="68"/>
      <c r="AK864" s="68"/>
      <c r="AL864" s="68"/>
      <c r="AM864" s="68"/>
      <c r="AN864" s="68"/>
      <c r="AO864" s="68"/>
      <c r="AP864" s="68"/>
      <c r="AQ864" s="68"/>
      <c r="AR864" s="68"/>
      <c r="AS864" s="68"/>
      <c r="AT864" s="68"/>
      <c r="AU864" s="68"/>
      <c r="AV864" s="68"/>
      <c r="AW864" s="68"/>
      <c r="AX864" s="68"/>
      <c r="AY864" s="68"/>
      <c r="AZ864" s="68"/>
      <c r="BA864" s="68"/>
      <c r="BB864" s="68"/>
      <c r="BC864" s="68"/>
      <c r="BD864" s="68"/>
      <c r="BE864" s="68"/>
      <c r="BF864" s="68"/>
      <c r="BG864" s="68"/>
      <c r="BH864" s="68"/>
      <c r="BI864" s="68"/>
      <c r="BJ864" s="68"/>
      <c r="BK864" s="68"/>
      <c r="BL864" s="68"/>
      <c r="BM864" s="68"/>
      <c r="BN864" s="68"/>
      <c r="BO864" s="68"/>
      <c r="BP864" s="68"/>
      <c r="BQ864" s="68"/>
      <c r="BR864" s="68"/>
      <c r="BS864" s="68"/>
      <c r="BT864" s="68"/>
      <c r="BU864" s="68"/>
      <c r="BV864" s="68"/>
      <c r="BW864" s="68"/>
      <c r="BX864" s="68"/>
      <c r="BY864" s="68"/>
      <c r="BZ864" s="68"/>
      <c r="CA864" s="68"/>
      <c r="CB864" s="68"/>
      <c r="CC864" s="68"/>
    </row>
    <row r="865" spans="1:81" ht="15.75" x14ac:dyDescent="0.25">
      <c r="A865" s="68"/>
      <c r="B865" s="68"/>
      <c r="C865" s="68"/>
      <c r="D865" s="69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  <c r="AH865" s="68"/>
      <c r="AI865" s="68"/>
      <c r="AJ865" s="68"/>
      <c r="AK865" s="68"/>
      <c r="AL865" s="68"/>
      <c r="AM865" s="68"/>
      <c r="AN865" s="68"/>
      <c r="AO865" s="68"/>
      <c r="AP865" s="68"/>
      <c r="AQ865" s="68"/>
      <c r="AR865" s="68"/>
      <c r="AS865" s="68"/>
      <c r="AT865" s="68"/>
      <c r="AU865" s="68"/>
      <c r="AV865" s="68"/>
      <c r="AW865" s="68"/>
      <c r="AX865" s="68"/>
      <c r="AY865" s="68"/>
      <c r="AZ865" s="68"/>
      <c r="BA865" s="68"/>
      <c r="BB865" s="68"/>
      <c r="BC865" s="68"/>
      <c r="BD865" s="68"/>
      <c r="BE865" s="68"/>
      <c r="BF865" s="68"/>
      <c r="BG865" s="68"/>
      <c r="BH865" s="68"/>
      <c r="BI865" s="68"/>
      <c r="BJ865" s="68"/>
      <c r="BK865" s="68"/>
      <c r="BL865" s="68"/>
      <c r="BM865" s="68"/>
      <c r="BN865" s="68"/>
      <c r="BO865" s="68"/>
      <c r="BP865" s="68"/>
      <c r="BQ865" s="68"/>
      <c r="BR865" s="68"/>
      <c r="BS865" s="68"/>
      <c r="BT865" s="68"/>
      <c r="BU865" s="68"/>
      <c r="BV865" s="68"/>
      <c r="BW865" s="68"/>
      <c r="BX865" s="68"/>
      <c r="BY865" s="68"/>
      <c r="BZ865" s="68"/>
      <c r="CA865" s="68"/>
      <c r="CB865" s="68"/>
      <c r="CC865" s="68"/>
    </row>
    <row r="866" spans="1:81" ht="15.75" x14ac:dyDescent="0.25">
      <c r="A866" s="68"/>
      <c r="B866" s="68"/>
      <c r="C866" s="68"/>
      <c r="D866" s="69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  <c r="AI866" s="68"/>
      <c r="AJ866" s="68"/>
      <c r="AK866" s="68"/>
      <c r="AL866" s="68"/>
      <c r="AM866" s="68"/>
      <c r="AN866" s="68"/>
      <c r="AO866" s="68"/>
      <c r="AP866" s="68"/>
      <c r="AQ866" s="68"/>
      <c r="AR866" s="68"/>
      <c r="AS866" s="68"/>
      <c r="AT866" s="68"/>
      <c r="AU866" s="68"/>
      <c r="AV866" s="68"/>
      <c r="AW866" s="68"/>
      <c r="AX866" s="68"/>
      <c r="AY866" s="68"/>
      <c r="AZ866" s="68"/>
      <c r="BA866" s="68"/>
      <c r="BB866" s="68"/>
      <c r="BC866" s="68"/>
      <c r="BD866" s="68"/>
      <c r="BE866" s="68"/>
      <c r="BF866" s="68"/>
      <c r="BG866" s="68"/>
      <c r="BH866" s="68"/>
      <c r="BI866" s="68"/>
      <c r="BJ866" s="68"/>
      <c r="BK866" s="68"/>
      <c r="BL866" s="68"/>
      <c r="BM866" s="68"/>
      <c r="BN866" s="68"/>
      <c r="BO866" s="68"/>
      <c r="BP866" s="68"/>
      <c r="BQ866" s="68"/>
      <c r="BR866" s="68"/>
      <c r="BS866" s="68"/>
      <c r="BT866" s="68"/>
      <c r="BU866" s="68"/>
      <c r="BV866" s="68"/>
      <c r="BW866" s="68"/>
      <c r="BX866" s="68"/>
      <c r="BY866" s="68"/>
      <c r="BZ866" s="68"/>
      <c r="CA866" s="68"/>
      <c r="CB866" s="68"/>
      <c r="CC866" s="68"/>
    </row>
    <row r="867" spans="1:81" ht="15.75" x14ac:dyDescent="0.25">
      <c r="A867" s="68"/>
      <c r="B867" s="68"/>
      <c r="C867" s="68"/>
      <c r="D867" s="69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  <c r="AI867" s="68"/>
      <c r="AJ867" s="68"/>
      <c r="AK867" s="68"/>
      <c r="AL867" s="68"/>
      <c r="AM867" s="68"/>
      <c r="AN867" s="68"/>
      <c r="AO867" s="68"/>
      <c r="AP867" s="68"/>
      <c r="AQ867" s="68"/>
      <c r="AR867" s="68"/>
      <c r="AS867" s="68"/>
      <c r="AT867" s="68"/>
      <c r="AU867" s="68"/>
      <c r="AV867" s="68"/>
      <c r="AW867" s="68"/>
      <c r="AX867" s="68"/>
      <c r="AY867" s="68"/>
      <c r="AZ867" s="68"/>
      <c r="BA867" s="68"/>
      <c r="BB867" s="68"/>
      <c r="BC867" s="68"/>
      <c r="BD867" s="68"/>
      <c r="BE867" s="68"/>
      <c r="BF867" s="68"/>
      <c r="BG867" s="68"/>
      <c r="BH867" s="68"/>
      <c r="BI867" s="68"/>
      <c r="BJ867" s="68"/>
      <c r="BK867" s="68"/>
      <c r="BL867" s="68"/>
      <c r="BM867" s="68"/>
      <c r="BN867" s="68"/>
      <c r="BO867" s="68"/>
      <c r="BP867" s="68"/>
      <c r="BQ867" s="68"/>
      <c r="BR867" s="68"/>
      <c r="BS867" s="68"/>
      <c r="BT867" s="68"/>
      <c r="BU867" s="68"/>
      <c r="BV867" s="68"/>
      <c r="BW867" s="68"/>
      <c r="BX867" s="68"/>
      <c r="BY867" s="68"/>
      <c r="BZ867" s="68"/>
      <c r="CA867" s="68"/>
      <c r="CB867" s="68"/>
      <c r="CC867" s="68"/>
    </row>
    <row r="868" spans="1:81" ht="15.75" x14ac:dyDescent="0.25">
      <c r="A868" s="68"/>
      <c r="B868" s="68"/>
      <c r="C868" s="68"/>
      <c r="D868" s="69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  <c r="AI868" s="68"/>
      <c r="AJ868" s="68"/>
      <c r="AK868" s="68"/>
      <c r="AL868" s="68"/>
      <c r="AM868" s="68"/>
      <c r="AN868" s="68"/>
      <c r="AO868" s="68"/>
      <c r="AP868" s="68"/>
      <c r="AQ868" s="68"/>
      <c r="AR868" s="68"/>
      <c r="AS868" s="68"/>
      <c r="AT868" s="68"/>
      <c r="AU868" s="68"/>
      <c r="AV868" s="68"/>
      <c r="AW868" s="68"/>
      <c r="AX868" s="68"/>
      <c r="AY868" s="68"/>
      <c r="AZ868" s="68"/>
      <c r="BA868" s="68"/>
      <c r="BB868" s="68"/>
      <c r="BC868" s="68"/>
      <c r="BD868" s="68"/>
      <c r="BE868" s="68"/>
      <c r="BF868" s="68"/>
      <c r="BG868" s="68"/>
      <c r="BH868" s="68"/>
      <c r="BI868" s="68"/>
      <c r="BJ868" s="68"/>
      <c r="BK868" s="68"/>
      <c r="BL868" s="68"/>
      <c r="BM868" s="68"/>
      <c r="BN868" s="68"/>
      <c r="BO868" s="68"/>
      <c r="BP868" s="68"/>
      <c r="BQ868" s="68"/>
      <c r="BR868" s="68"/>
      <c r="BS868" s="68"/>
      <c r="BT868" s="68"/>
      <c r="BU868" s="68"/>
      <c r="BV868" s="68"/>
      <c r="BW868" s="68"/>
      <c r="BX868" s="68"/>
      <c r="BY868" s="68"/>
      <c r="BZ868" s="68"/>
      <c r="CA868" s="68"/>
      <c r="CB868" s="68"/>
      <c r="CC868" s="68"/>
    </row>
    <row r="869" spans="1:81" ht="15.75" x14ac:dyDescent="0.25">
      <c r="A869" s="68"/>
      <c r="B869" s="68"/>
      <c r="C869" s="68"/>
      <c r="D869" s="69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  <c r="AI869" s="68"/>
      <c r="AJ869" s="68"/>
      <c r="AK869" s="68"/>
      <c r="AL869" s="68"/>
      <c r="AM869" s="68"/>
      <c r="AN869" s="68"/>
      <c r="AO869" s="68"/>
      <c r="AP869" s="68"/>
      <c r="AQ869" s="68"/>
      <c r="AR869" s="68"/>
      <c r="AS869" s="68"/>
      <c r="AT869" s="68"/>
      <c r="AU869" s="68"/>
      <c r="AV869" s="68"/>
      <c r="AW869" s="68"/>
      <c r="AX869" s="68"/>
      <c r="AY869" s="68"/>
      <c r="AZ869" s="68"/>
      <c r="BA869" s="68"/>
      <c r="BB869" s="68"/>
      <c r="BC869" s="68"/>
      <c r="BD869" s="68"/>
      <c r="BE869" s="68"/>
      <c r="BF869" s="68"/>
      <c r="BG869" s="68"/>
      <c r="BH869" s="68"/>
      <c r="BI869" s="68"/>
      <c r="BJ869" s="68"/>
      <c r="BK869" s="68"/>
      <c r="BL869" s="68"/>
      <c r="BM869" s="68"/>
      <c r="BN869" s="68"/>
      <c r="BO869" s="68"/>
      <c r="BP869" s="68"/>
      <c r="BQ869" s="68"/>
      <c r="BR869" s="68"/>
      <c r="BS869" s="68"/>
      <c r="BT869" s="68"/>
      <c r="BU869" s="68"/>
      <c r="BV869" s="68"/>
      <c r="BW869" s="68"/>
      <c r="BX869" s="68"/>
      <c r="BY869" s="68"/>
      <c r="BZ869" s="68"/>
      <c r="CA869" s="68"/>
      <c r="CB869" s="68"/>
      <c r="CC869" s="68"/>
    </row>
    <row r="870" spans="1:81" ht="15.75" x14ac:dyDescent="0.25">
      <c r="A870" s="68"/>
      <c r="B870" s="68"/>
      <c r="C870" s="68"/>
      <c r="D870" s="69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  <c r="AI870" s="68"/>
      <c r="AJ870" s="68"/>
      <c r="AK870" s="68"/>
      <c r="AL870" s="68"/>
      <c r="AM870" s="68"/>
      <c r="AN870" s="68"/>
      <c r="AO870" s="68"/>
      <c r="AP870" s="68"/>
      <c r="AQ870" s="68"/>
      <c r="AR870" s="68"/>
      <c r="AS870" s="68"/>
      <c r="AT870" s="68"/>
      <c r="AU870" s="68"/>
      <c r="AV870" s="68"/>
      <c r="AW870" s="68"/>
      <c r="AX870" s="68"/>
      <c r="AY870" s="68"/>
      <c r="AZ870" s="68"/>
      <c r="BA870" s="68"/>
      <c r="BB870" s="68"/>
      <c r="BC870" s="68"/>
      <c r="BD870" s="68"/>
      <c r="BE870" s="68"/>
      <c r="BF870" s="68"/>
      <c r="BG870" s="68"/>
      <c r="BH870" s="68"/>
      <c r="BI870" s="68"/>
      <c r="BJ870" s="68"/>
      <c r="BK870" s="68"/>
      <c r="BL870" s="68"/>
      <c r="BM870" s="68"/>
      <c r="BN870" s="68"/>
      <c r="BO870" s="68"/>
      <c r="BP870" s="68"/>
      <c r="BQ870" s="68"/>
      <c r="BR870" s="68"/>
      <c r="BS870" s="68"/>
      <c r="BT870" s="68"/>
      <c r="BU870" s="68"/>
      <c r="BV870" s="68"/>
      <c r="BW870" s="68"/>
      <c r="BX870" s="68"/>
      <c r="BY870" s="68"/>
      <c r="BZ870" s="68"/>
      <c r="CA870" s="68"/>
      <c r="CB870" s="68"/>
      <c r="CC870" s="68"/>
    </row>
    <row r="871" spans="1:81" ht="15.75" x14ac:dyDescent="0.25">
      <c r="A871" s="68"/>
      <c r="B871" s="68"/>
      <c r="C871" s="68"/>
      <c r="D871" s="69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  <c r="AI871" s="68"/>
      <c r="AJ871" s="68"/>
      <c r="AK871" s="68"/>
      <c r="AL871" s="68"/>
      <c r="AM871" s="68"/>
      <c r="AN871" s="68"/>
      <c r="AO871" s="68"/>
      <c r="AP871" s="68"/>
      <c r="AQ871" s="68"/>
      <c r="AR871" s="68"/>
      <c r="AS871" s="68"/>
      <c r="AT871" s="68"/>
      <c r="AU871" s="68"/>
      <c r="AV871" s="68"/>
      <c r="AW871" s="68"/>
      <c r="AX871" s="68"/>
      <c r="AY871" s="68"/>
      <c r="AZ871" s="68"/>
      <c r="BA871" s="68"/>
      <c r="BB871" s="68"/>
      <c r="BC871" s="68"/>
      <c r="BD871" s="68"/>
      <c r="BE871" s="68"/>
      <c r="BF871" s="68"/>
      <c r="BG871" s="68"/>
      <c r="BH871" s="68"/>
      <c r="BI871" s="68"/>
      <c r="BJ871" s="68"/>
      <c r="BK871" s="68"/>
      <c r="BL871" s="68"/>
      <c r="BM871" s="68"/>
      <c r="BN871" s="68"/>
      <c r="BO871" s="68"/>
      <c r="BP871" s="68"/>
      <c r="BQ871" s="68"/>
      <c r="BR871" s="68"/>
      <c r="BS871" s="68"/>
      <c r="BT871" s="68"/>
      <c r="BU871" s="68"/>
      <c r="BV871" s="68"/>
      <c r="BW871" s="68"/>
      <c r="BX871" s="68"/>
      <c r="BY871" s="68"/>
      <c r="BZ871" s="68"/>
      <c r="CA871" s="68"/>
      <c r="CB871" s="68"/>
      <c r="CC871" s="68"/>
    </row>
    <row r="872" spans="1:81" ht="15.75" x14ac:dyDescent="0.25">
      <c r="A872" s="68"/>
      <c r="B872" s="68"/>
      <c r="C872" s="68"/>
      <c r="D872" s="69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  <c r="AI872" s="68"/>
      <c r="AJ872" s="68"/>
      <c r="AK872" s="68"/>
      <c r="AL872" s="68"/>
      <c r="AM872" s="68"/>
      <c r="AN872" s="68"/>
      <c r="AO872" s="68"/>
      <c r="AP872" s="68"/>
      <c r="AQ872" s="68"/>
      <c r="AR872" s="68"/>
      <c r="AS872" s="68"/>
      <c r="AT872" s="68"/>
      <c r="AU872" s="68"/>
      <c r="AV872" s="68"/>
      <c r="AW872" s="68"/>
      <c r="AX872" s="68"/>
      <c r="AY872" s="68"/>
      <c r="AZ872" s="68"/>
      <c r="BA872" s="68"/>
      <c r="BB872" s="68"/>
      <c r="BC872" s="68"/>
      <c r="BD872" s="68"/>
      <c r="BE872" s="68"/>
      <c r="BF872" s="68"/>
      <c r="BG872" s="68"/>
      <c r="BH872" s="68"/>
      <c r="BI872" s="68"/>
      <c r="BJ872" s="68"/>
      <c r="BK872" s="68"/>
      <c r="BL872" s="68"/>
      <c r="BM872" s="68"/>
      <c r="BN872" s="68"/>
      <c r="BO872" s="68"/>
      <c r="BP872" s="68"/>
      <c r="BQ872" s="68"/>
      <c r="BR872" s="68"/>
      <c r="BS872" s="68"/>
      <c r="BT872" s="68"/>
      <c r="BU872" s="68"/>
      <c r="BV872" s="68"/>
      <c r="BW872" s="68"/>
      <c r="BX872" s="68"/>
      <c r="BY872" s="68"/>
      <c r="BZ872" s="68"/>
      <c r="CA872" s="68"/>
      <c r="CB872" s="68"/>
      <c r="CC872" s="68"/>
    </row>
    <row r="873" spans="1:81" ht="15.75" x14ac:dyDescent="0.25">
      <c r="A873" s="68"/>
      <c r="B873" s="68"/>
      <c r="C873" s="68"/>
      <c r="D873" s="69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  <c r="AI873" s="68"/>
      <c r="AJ873" s="68"/>
      <c r="AK873" s="68"/>
      <c r="AL873" s="68"/>
      <c r="AM873" s="68"/>
      <c r="AN873" s="68"/>
      <c r="AO873" s="68"/>
      <c r="AP873" s="68"/>
      <c r="AQ873" s="68"/>
      <c r="AR873" s="68"/>
      <c r="AS873" s="68"/>
      <c r="AT873" s="68"/>
      <c r="AU873" s="68"/>
      <c r="AV873" s="68"/>
      <c r="AW873" s="68"/>
      <c r="AX873" s="68"/>
      <c r="AY873" s="68"/>
      <c r="AZ873" s="68"/>
      <c r="BA873" s="68"/>
      <c r="BB873" s="68"/>
      <c r="BC873" s="68"/>
      <c r="BD873" s="68"/>
      <c r="BE873" s="68"/>
      <c r="BF873" s="68"/>
      <c r="BG873" s="68"/>
      <c r="BH873" s="68"/>
      <c r="BI873" s="68"/>
      <c r="BJ873" s="68"/>
      <c r="BK873" s="68"/>
      <c r="BL873" s="68"/>
      <c r="BM873" s="68"/>
      <c r="BN873" s="68"/>
      <c r="BO873" s="68"/>
      <c r="BP873" s="68"/>
      <c r="BQ873" s="68"/>
      <c r="BR873" s="68"/>
      <c r="BS873" s="68"/>
      <c r="BT873" s="68"/>
      <c r="BU873" s="68"/>
      <c r="BV873" s="68"/>
      <c r="BW873" s="68"/>
      <c r="BX873" s="68"/>
      <c r="BY873" s="68"/>
      <c r="BZ873" s="68"/>
      <c r="CA873" s="68"/>
      <c r="CB873" s="68"/>
      <c r="CC873" s="68"/>
    </row>
    <row r="874" spans="1:81" ht="15.75" x14ac:dyDescent="0.25">
      <c r="A874" s="68"/>
      <c r="B874" s="68"/>
      <c r="C874" s="68"/>
      <c r="D874" s="69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  <c r="AI874" s="68"/>
      <c r="AJ874" s="68"/>
      <c r="AK874" s="68"/>
      <c r="AL874" s="68"/>
      <c r="AM874" s="68"/>
      <c r="AN874" s="68"/>
      <c r="AO874" s="68"/>
      <c r="AP874" s="68"/>
      <c r="AQ874" s="68"/>
      <c r="AR874" s="68"/>
      <c r="AS874" s="68"/>
      <c r="AT874" s="68"/>
      <c r="AU874" s="68"/>
      <c r="AV874" s="68"/>
      <c r="AW874" s="68"/>
      <c r="AX874" s="68"/>
      <c r="AY874" s="68"/>
      <c r="AZ874" s="68"/>
      <c r="BA874" s="68"/>
      <c r="BB874" s="68"/>
      <c r="BC874" s="68"/>
      <c r="BD874" s="68"/>
      <c r="BE874" s="68"/>
      <c r="BF874" s="68"/>
      <c r="BG874" s="68"/>
      <c r="BH874" s="68"/>
      <c r="BI874" s="68"/>
      <c r="BJ874" s="68"/>
      <c r="BK874" s="68"/>
      <c r="BL874" s="68"/>
      <c r="BM874" s="68"/>
      <c r="BN874" s="68"/>
      <c r="BO874" s="68"/>
      <c r="BP874" s="68"/>
      <c r="BQ874" s="68"/>
      <c r="BR874" s="68"/>
      <c r="BS874" s="68"/>
      <c r="BT874" s="68"/>
      <c r="BU874" s="68"/>
      <c r="BV874" s="68"/>
      <c r="BW874" s="68"/>
      <c r="BX874" s="68"/>
      <c r="BY874" s="68"/>
      <c r="BZ874" s="68"/>
      <c r="CA874" s="68"/>
      <c r="CB874" s="68"/>
      <c r="CC874" s="68"/>
    </row>
    <row r="875" spans="1:81" ht="15.75" x14ac:dyDescent="0.25">
      <c r="A875" s="68"/>
      <c r="B875" s="68"/>
      <c r="C875" s="68"/>
      <c r="D875" s="69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  <c r="AI875" s="68"/>
      <c r="AJ875" s="68"/>
      <c r="AK875" s="68"/>
      <c r="AL875" s="68"/>
      <c r="AM875" s="68"/>
      <c r="AN875" s="68"/>
      <c r="AO875" s="68"/>
      <c r="AP875" s="68"/>
      <c r="AQ875" s="68"/>
      <c r="AR875" s="68"/>
      <c r="AS875" s="68"/>
      <c r="AT875" s="68"/>
      <c r="AU875" s="68"/>
      <c r="AV875" s="68"/>
      <c r="AW875" s="68"/>
      <c r="AX875" s="68"/>
      <c r="AY875" s="68"/>
      <c r="AZ875" s="68"/>
      <c r="BA875" s="68"/>
      <c r="BB875" s="68"/>
      <c r="BC875" s="68"/>
      <c r="BD875" s="68"/>
      <c r="BE875" s="68"/>
      <c r="BF875" s="68"/>
      <c r="BG875" s="68"/>
      <c r="BH875" s="68"/>
      <c r="BI875" s="68"/>
      <c r="BJ875" s="68"/>
      <c r="BK875" s="68"/>
      <c r="BL875" s="68"/>
      <c r="BM875" s="68"/>
      <c r="BN875" s="68"/>
      <c r="BO875" s="68"/>
      <c r="BP875" s="68"/>
      <c r="BQ875" s="68"/>
      <c r="BR875" s="68"/>
      <c r="BS875" s="68"/>
      <c r="BT875" s="68"/>
      <c r="BU875" s="68"/>
      <c r="BV875" s="68"/>
      <c r="BW875" s="68"/>
      <c r="BX875" s="68"/>
      <c r="BY875" s="68"/>
      <c r="BZ875" s="68"/>
      <c r="CA875" s="68"/>
      <c r="CB875" s="68"/>
      <c r="CC875" s="68"/>
    </row>
    <row r="876" spans="1:81" ht="15.75" x14ac:dyDescent="0.25">
      <c r="A876" s="68"/>
      <c r="B876" s="68"/>
      <c r="C876" s="68"/>
      <c r="D876" s="69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  <c r="AI876" s="68"/>
      <c r="AJ876" s="68"/>
      <c r="AK876" s="68"/>
      <c r="AL876" s="68"/>
      <c r="AM876" s="68"/>
      <c r="AN876" s="68"/>
      <c r="AO876" s="68"/>
      <c r="AP876" s="68"/>
      <c r="AQ876" s="68"/>
      <c r="AR876" s="68"/>
      <c r="AS876" s="68"/>
      <c r="AT876" s="68"/>
      <c r="AU876" s="68"/>
      <c r="AV876" s="68"/>
      <c r="AW876" s="68"/>
      <c r="AX876" s="68"/>
      <c r="AY876" s="68"/>
      <c r="AZ876" s="68"/>
      <c r="BA876" s="68"/>
      <c r="BB876" s="68"/>
      <c r="BC876" s="68"/>
      <c r="BD876" s="68"/>
      <c r="BE876" s="68"/>
      <c r="BF876" s="68"/>
      <c r="BG876" s="68"/>
      <c r="BH876" s="68"/>
      <c r="BI876" s="68"/>
      <c r="BJ876" s="68"/>
      <c r="BK876" s="68"/>
      <c r="BL876" s="68"/>
      <c r="BM876" s="68"/>
      <c r="BN876" s="68"/>
      <c r="BO876" s="68"/>
      <c r="BP876" s="68"/>
      <c r="BQ876" s="68"/>
      <c r="BR876" s="68"/>
      <c r="BS876" s="68"/>
      <c r="BT876" s="68"/>
      <c r="BU876" s="68"/>
      <c r="BV876" s="68"/>
      <c r="BW876" s="68"/>
      <c r="BX876" s="68"/>
      <c r="BY876" s="68"/>
      <c r="BZ876" s="68"/>
      <c r="CA876" s="68"/>
      <c r="CB876" s="68"/>
      <c r="CC876" s="68"/>
    </row>
    <row r="877" spans="1:81" ht="15.75" x14ac:dyDescent="0.25">
      <c r="A877" s="68"/>
      <c r="B877" s="68"/>
      <c r="C877" s="68"/>
      <c r="D877" s="69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  <c r="AI877" s="68"/>
      <c r="AJ877" s="68"/>
      <c r="AK877" s="68"/>
      <c r="AL877" s="68"/>
      <c r="AM877" s="68"/>
      <c r="AN877" s="68"/>
      <c r="AO877" s="68"/>
      <c r="AP877" s="68"/>
      <c r="AQ877" s="68"/>
      <c r="AR877" s="68"/>
      <c r="AS877" s="68"/>
      <c r="AT877" s="68"/>
      <c r="AU877" s="68"/>
      <c r="AV877" s="68"/>
      <c r="AW877" s="68"/>
      <c r="AX877" s="68"/>
      <c r="AY877" s="68"/>
      <c r="AZ877" s="68"/>
      <c r="BA877" s="68"/>
      <c r="BB877" s="68"/>
      <c r="BC877" s="68"/>
      <c r="BD877" s="68"/>
      <c r="BE877" s="68"/>
      <c r="BF877" s="68"/>
      <c r="BG877" s="68"/>
      <c r="BH877" s="68"/>
      <c r="BI877" s="68"/>
      <c r="BJ877" s="68"/>
      <c r="BK877" s="68"/>
      <c r="BL877" s="68"/>
      <c r="BM877" s="68"/>
      <c r="BN877" s="68"/>
      <c r="BO877" s="68"/>
      <c r="BP877" s="68"/>
      <c r="BQ877" s="68"/>
      <c r="BR877" s="68"/>
      <c r="BS877" s="68"/>
      <c r="BT877" s="68"/>
      <c r="BU877" s="68"/>
      <c r="BV877" s="68"/>
      <c r="BW877" s="68"/>
      <c r="BX877" s="68"/>
      <c r="BY877" s="68"/>
      <c r="BZ877" s="68"/>
      <c r="CA877" s="68"/>
      <c r="CB877" s="68"/>
      <c r="CC877" s="68"/>
    </row>
    <row r="878" spans="1:81" ht="15.75" x14ac:dyDescent="0.25">
      <c r="A878" s="68"/>
      <c r="B878" s="68"/>
      <c r="C878" s="68"/>
      <c r="D878" s="69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  <c r="AI878" s="68"/>
      <c r="AJ878" s="68"/>
      <c r="AK878" s="68"/>
      <c r="AL878" s="68"/>
      <c r="AM878" s="68"/>
      <c r="AN878" s="68"/>
      <c r="AO878" s="68"/>
      <c r="AP878" s="68"/>
      <c r="AQ878" s="68"/>
      <c r="AR878" s="68"/>
      <c r="AS878" s="68"/>
      <c r="AT878" s="68"/>
      <c r="AU878" s="68"/>
      <c r="AV878" s="68"/>
      <c r="AW878" s="68"/>
      <c r="AX878" s="68"/>
      <c r="AY878" s="68"/>
      <c r="AZ878" s="68"/>
      <c r="BA878" s="68"/>
      <c r="BB878" s="68"/>
      <c r="BC878" s="68"/>
      <c r="BD878" s="68"/>
      <c r="BE878" s="68"/>
      <c r="BF878" s="68"/>
      <c r="BG878" s="68"/>
      <c r="BH878" s="68"/>
      <c r="BI878" s="68"/>
      <c r="BJ878" s="68"/>
      <c r="BK878" s="68"/>
      <c r="BL878" s="68"/>
      <c r="BM878" s="68"/>
      <c r="BN878" s="68"/>
      <c r="BO878" s="68"/>
      <c r="BP878" s="68"/>
      <c r="BQ878" s="68"/>
      <c r="BR878" s="68"/>
      <c r="BS878" s="68"/>
      <c r="BT878" s="68"/>
      <c r="BU878" s="68"/>
      <c r="BV878" s="68"/>
      <c r="BW878" s="68"/>
      <c r="BX878" s="68"/>
      <c r="BY878" s="68"/>
      <c r="BZ878" s="68"/>
      <c r="CA878" s="68"/>
      <c r="CB878" s="68"/>
      <c r="CC878" s="68"/>
    </row>
    <row r="879" spans="1:81" ht="15.75" x14ac:dyDescent="0.25">
      <c r="A879" s="68"/>
      <c r="B879" s="68"/>
      <c r="C879" s="68"/>
      <c r="D879" s="69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  <c r="AD879" s="68"/>
      <c r="AE879" s="68"/>
      <c r="AF879" s="68"/>
      <c r="AG879" s="68"/>
      <c r="AH879" s="68"/>
      <c r="AI879" s="68"/>
      <c r="AJ879" s="68"/>
      <c r="AK879" s="68"/>
      <c r="AL879" s="68"/>
      <c r="AM879" s="68"/>
      <c r="AN879" s="68"/>
      <c r="AO879" s="68"/>
      <c r="AP879" s="68"/>
      <c r="AQ879" s="68"/>
      <c r="AR879" s="68"/>
      <c r="AS879" s="68"/>
      <c r="AT879" s="68"/>
      <c r="AU879" s="68"/>
      <c r="AV879" s="68"/>
      <c r="AW879" s="68"/>
      <c r="AX879" s="68"/>
      <c r="AY879" s="68"/>
      <c r="AZ879" s="68"/>
      <c r="BA879" s="68"/>
      <c r="BB879" s="68"/>
      <c r="BC879" s="68"/>
      <c r="BD879" s="68"/>
      <c r="BE879" s="68"/>
      <c r="BF879" s="68"/>
      <c r="BG879" s="68"/>
      <c r="BH879" s="68"/>
      <c r="BI879" s="68"/>
      <c r="BJ879" s="68"/>
      <c r="BK879" s="68"/>
      <c r="BL879" s="68"/>
      <c r="BM879" s="68"/>
      <c r="BN879" s="68"/>
      <c r="BO879" s="68"/>
      <c r="BP879" s="68"/>
      <c r="BQ879" s="68"/>
      <c r="BR879" s="68"/>
      <c r="BS879" s="68"/>
      <c r="BT879" s="68"/>
      <c r="BU879" s="68"/>
      <c r="BV879" s="68"/>
      <c r="BW879" s="68"/>
      <c r="BX879" s="68"/>
      <c r="BY879" s="68"/>
      <c r="BZ879" s="68"/>
      <c r="CA879" s="68"/>
      <c r="CB879" s="68"/>
      <c r="CC879" s="68"/>
    </row>
    <row r="880" spans="1:81" ht="15.75" x14ac:dyDescent="0.25">
      <c r="A880" s="68"/>
      <c r="B880" s="68"/>
      <c r="C880" s="68"/>
      <c r="D880" s="69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  <c r="AI880" s="68"/>
      <c r="AJ880" s="68"/>
      <c r="AK880" s="68"/>
      <c r="AL880" s="68"/>
      <c r="AM880" s="68"/>
      <c r="AN880" s="68"/>
      <c r="AO880" s="68"/>
      <c r="AP880" s="68"/>
      <c r="AQ880" s="68"/>
      <c r="AR880" s="68"/>
      <c r="AS880" s="68"/>
      <c r="AT880" s="68"/>
      <c r="AU880" s="68"/>
      <c r="AV880" s="68"/>
      <c r="AW880" s="68"/>
      <c r="AX880" s="68"/>
      <c r="AY880" s="68"/>
      <c r="AZ880" s="68"/>
      <c r="BA880" s="68"/>
      <c r="BB880" s="68"/>
      <c r="BC880" s="68"/>
      <c r="BD880" s="68"/>
      <c r="BE880" s="68"/>
      <c r="BF880" s="68"/>
      <c r="BG880" s="68"/>
      <c r="BH880" s="68"/>
      <c r="BI880" s="68"/>
      <c r="BJ880" s="68"/>
      <c r="BK880" s="68"/>
      <c r="BL880" s="68"/>
      <c r="BM880" s="68"/>
      <c r="BN880" s="68"/>
      <c r="BO880" s="68"/>
      <c r="BP880" s="68"/>
      <c r="BQ880" s="68"/>
      <c r="BR880" s="68"/>
      <c r="BS880" s="68"/>
      <c r="BT880" s="68"/>
      <c r="BU880" s="68"/>
      <c r="BV880" s="68"/>
      <c r="BW880" s="68"/>
      <c r="BX880" s="68"/>
      <c r="BY880" s="68"/>
      <c r="BZ880" s="68"/>
      <c r="CA880" s="68"/>
      <c r="CB880" s="68"/>
      <c r="CC880" s="68"/>
    </row>
    <row r="881" spans="1:81" ht="15.75" x14ac:dyDescent="0.25">
      <c r="A881" s="68"/>
      <c r="B881" s="68"/>
      <c r="C881" s="68"/>
      <c r="D881" s="69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  <c r="AI881" s="68"/>
      <c r="AJ881" s="68"/>
      <c r="AK881" s="68"/>
      <c r="AL881" s="68"/>
      <c r="AM881" s="68"/>
      <c r="AN881" s="68"/>
      <c r="AO881" s="68"/>
      <c r="AP881" s="68"/>
      <c r="AQ881" s="68"/>
      <c r="AR881" s="68"/>
      <c r="AS881" s="68"/>
      <c r="AT881" s="68"/>
      <c r="AU881" s="68"/>
      <c r="AV881" s="68"/>
      <c r="AW881" s="68"/>
      <c r="AX881" s="68"/>
      <c r="AY881" s="68"/>
      <c r="AZ881" s="68"/>
      <c r="BA881" s="68"/>
      <c r="BB881" s="68"/>
      <c r="BC881" s="68"/>
      <c r="BD881" s="68"/>
      <c r="BE881" s="68"/>
      <c r="BF881" s="68"/>
      <c r="BG881" s="68"/>
      <c r="BH881" s="68"/>
      <c r="BI881" s="68"/>
      <c r="BJ881" s="68"/>
      <c r="BK881" s="68"/>
      <c r="BL881" s="68"/>
      <c r="BM881" s="68"/>
      <c r="BN881" s="68"/>
      <c r="BO881" s="68"/>
      <c r="BP881" s="68"/>
      <c r="BQ881" s="68"/>
      <c r="BR881" s="68"/>
      <c r="BS881" s="68"/>
      <c r="BT881" s="68"/>
      <c r="BU881" s="68"/>
      <c r="BV881" s="68"/>
      <c r="BW881" s="68"/>
      <c r="BX881" s="68"/>
      <c r="BY881" s="68"/>
      <c r="BZ881" s="68"/>
      <c r="CA881" s="68"/>
      <c r="CB881" s="68"/>
      <c r="CC881" s="68"/>
    </row>
    <row r="882" spans="1:81" ht="15.75" x14ac:dyDescent="0.25">
      <c r="A882" s="68"/>
      <c r="B882" s="68"/>
      <c r="C882" s="68"/>
      <c r="D882" s="69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  <c r="AI882" s="68"/>
      <c r="AJ882" s="68"/>
      <c r="AK882" s="68"/>
      <c r="AL882" s="68"/>
      <c r="AM882" s="68"/>
      <c r="AN882" s="68"/>
      <c r="AO882" s="68"/>
      <c r="AP882" s="68"/>
      <c r="AQ882" s="68"/>
      <c r="AR882" s="68"/>
      <c r="AS882" s="68"/>
      <c r="AT882" s="68"/>
      <c r="AU882" s="68"/>
      <c r="AV882" s="68"/>
      <c r="AW882" s="68"/>
      <c r="AX882" s="68"/>
      <c r="AY882" s="68"/>
      <c r="AZ882" s="68"/>
      <c r="BA882" s="68"/>
      <c r="BB882" s="68"/>
      <c r="BC882" s="68"/>
      <c r="BD882" s="68"/>
      <c r="BE882" s="68"/>
      <c r="BF882" s="68"/>
      <c r="BG882" s="68"/>
      <c r="BH882" s="68"/>
      <c r="BI882" s="68"/>
      <c r="BJ882" s="68"/>
      <c r="BK882" s="68"/>
      <c r="BL882" s="68"/>
      <c r="BM882" s="68"/>
      <c r="BN882" s="68"/>
      <c r="BO882" s="68"/>
      <c r="BP882" s="68"/>
      <c r="BQ882" s="68"/>
      <c r="BR882" s="68"/>
      <c r="BS882" s="68"/>
      <c r="BT882" s="68"/>
      <c r="BU882" s="68"/>
      <c r="BV882" s="68"/>
      <c r="BW882" s="68"/>
      <c r="BX882" s="68"/>
      <c r="BY882" s="68"/>
      <c r="BZ882" s="68"/>
      <c r="CA882" s="68"/>
      <c r="CB882" s="68"/>
      <c r="CC882" s="68"/>
    </row>
    <row r="883" spans="1:81" ht="15.75" x14ac:dyDescent="0.25">
      <c r="A883" s="68"/>
      <c r="B883" s="68"/>
      <c r="C883" s="68"/>
      <c r="D883" s="69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  <c r="AI883" s="68"/>
      <c r="AJ883" s="68"/>
      <c r="AK883" s="68"/>
      <c r="AL883" s="68"/>
      <c r="AM883" s="68"/>
      <c r="AN883" s="68"/>
      <c r="AO883" s="68"/>
      <c r="AP883" s="68"/>
      <c r="AQ883" s="68"/>
      <c r="AR883" s="68"/>
      <c r="AS883" s="68"/>
      <c r="AT883" s="68"/>
      <c r="AU883" s="68"/>
      <c r="AV883" s="68"/>
      <c r="AW883" s="68"/>
      <c r="AX883" s="68"/>
      <c r="AY883" s="68"/>
      <c r="AZ883" s="68"/>
      <c r="BA883" s="68"/>
      <c r="BB883" s="68"/>
      <c r="BC883" s="68"/>
      <c r="BD883" s="68"/>
      <c r="BE883" s="68"/>
      <c r="BF883" s="68"/>
      <c r="BG883" s="68"/>
      <c r="BH883" s="68"/>
      <c r="BI883" s="68"/>
      <c r="BJ883" s="68"/>
      <c r="BK883" s="68"/>
      <c r="BL883" s="68"/>
      <c r="BM883" s="68"/>
      <c r="BN883" s="68"/>
      <c r="BO883" s="68"/>
      <c r="BP883" s="68"/>
      <c r="BQ883" s="68"/>
      <c r="BR883" s="68"/>
      <c r="BS883" s="68"/>
      <c r="BT883" s="68"/>
      <c r="BU883" s="68"/>
      <c r="BV883" s="68"/>
      <c r="BW883" s="68"/>
      <c r="BX883" s="68"/>
      <c r="BY883" s="68"/>
      <c r="BZ883" s="68"/>
      <c r="CA883" s="68"/>
      <c r="CB883" s="68"/>
      <c r="CC883" s="68"/>
    </row>
    <row r="884" spans="1:81" ht="15.75" x14ac:dyDescent="0.25">
      <c r="A884" s="68"/>
      <c r="B884" s="68"/>
      <c r="C884" s="68"/>
      <c r="D884" s="69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  <c r="AI884" s="68"/>
      <c r="AJ884" s="68"/>
      <c r="AK884" s="68"/>
      <c r="AL884" s="68"/>
      <c r="AM884" s="68"/>
      <c r="AN884" s="68"/>
      <c r="AO884" s="68"/>
      <c r="AP884" s="68"/>
      <c r="AQ884" s="68"/>
      <c r="AR884" s="68"/>
      <c r="AS884" s="68"/>
      <c r="AT884" s="68"/>
      <c r="AU884" s="68"/>
      <c r="AV884" s="68"/>
      <c r="AW884" s="68"/>
      <c r="AX884" s="68"/>
      <c r="AY884" s="68"/>
      <c r="AZ884" s="68"/>
      <c r="BA884" s="68"/>
      <c r="BB884" s="68"/>
      <c r="BC884" s="68"/>
      <c r="BD884" s="68"/>
      <c r="BE884" s="68"/>
      <c r="BF884" s="68"/>
      <c r="BG884" s="68"/>
      <c r="BH884" s="68"/>
      <c r="BI884" s="68"/>
      <c r="BJ884" s="68"/>
      <c r="BK884" s="68"/>
      <c r="BL884" s="68"/>
      <c r="BM884" s="68"/>
      <c r="BN884" s="68"/>
      <c r="BO884" s="68"/>
      <c r="BP884" s="68"/>
      <c r="BQ884" s="68"/>
      <c r="BR884" s="68"/>
      <c r="BS884" s="68"/>
      <c r="BT884" s="68"/>
      <c r="BU884" s="68"/>
      <c r="BV884" s="68"/>
      <c r="BW884" s="68"/>
      <c r="BX884" s="68"/>
      <c r="BY884" s="68"/>
      <c r="BZ884" s="68"/>
      <c r="CA884" s="68"/>
      <c r="CB884" s="68"/>
      <c r="CC884" s="68"/>
    </row>
    <row r="885" spans="1:81" ht="15.75" x14ac:dyDescent="0.25">
      <c r="A885" s="68"/>
      <c r="B885" s="68"/>
      <c r="C885" s="68"/>
      <c r="D885" s="69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  <c r="AI885" s="68"/>
      <c r="AJ885" s="68"/>
      <c r="AK885" s="68"/>
      <c r="AL885" s="68"/>
      <c r="AM885" s="68"/>
      <c r="AN885" s="68"/>
      <c r="AO885" s="68"/>
      <c r="AP885" s="68"/>
      <c r="AQ885" s="68"/>
      <c r="AR885" s="68"/>
      <c r="AS885" s="68"/>
      <c r="AT885" s="68"/>
      <c r="AU885" s="68"/>
      <c r="AV885" s="68"/>
      <c r="AW885" s="68"/>
      <c r="AX885" s="68"/>
      <c r="AY885" s="68"/>
      <c r="AZ885" s="68"/>
      <c r="BA885" s="68"/>
      <c r="BB885" s="68"/>
      <c r="BC885" s="68"/>
      <c r="BD885" s="68"/>
      <c r="BE885" s="68"/>
      <c r="BF885" s="68"/>
      <c r="BG885" s="68"/>
      <c r="BH885" s="68"/>
      <c r="BI885" s="68"/>
      <c r="BJ885" s="68"/>
      <c r="BK885" s="68"/>
      <c r="BL885" s="68"/>
      <c r="BM885" s="68"/>
      <c r="BN885" s="68"/>
      <c r="BO885" s="68"/>
      <c r="BP885" s="68"/>
      <c r="BQ885" s="68"/>
      <c r="BR885" s="68"/>
      <c r="BS885" s="68"/>
      <c r="BT885" s="68"/>
      <c r="BU885" s="68"/>
      <c r="BV885" s="68"/>
      <c r="BW885" s="68"/>
      <c r="BX885" s="68"/>
      <c r="BY885" s="68"/>
      <c r="BZ885" s="68"/>
      <c r="CA885" s="68"/>
      <c r="CB885" s="68"/>
      <c r="CC885" s="68"/>
    </row>
    <row r="886" spans="1:81" ht="15.75" x14ac:dyDescent="0.25">
      <c r="A886" s="68"/>
      <c r="B886" s="68"/>
      <c r="C886" s="68"/>
      <c r="D886" s="69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  <c r="AI886" s="68"/>
      <c r="AJ886" s="68"/>
      <c r="AK886" s="68"/>
      <c r="AL886" s="68"/>
      <c r="AM886" s="68"/>
      <c r="AN886" s="68"/>
      <c r="AO886" s="68"/>
      <c r="AP886" s="68"/>
      <c r="AQ886" s="68"/>
      <c r="AR886" s="68"/>
      <c r="AS886" s="68"/>
      <c r="AT886" s="68"/>
      <c r="AU886" s="68"/>
      <c r="AV886" s="68"/>
      <c r="AW886" s="68"/>
      <c r="AX886" s="68"/>
      <c r="AY886" s="68"/>
      <c r="AZ886" s="68"/>
      <c r="BA886" s="68"/>
      <c r="BB886" s="68"/>
      <c r="BC886" s="68"/>
      <c r="BD886" s="68"/>
      <c r="BE886" s="68"/>
      <c r="BF886" s="68"/>
      <c r="BG886" s="68"/>
      <c r="BH886" s="68"/>
      <c r="BI886" s="68"/>
      <c r="BJ886" s="68"/>
      <c r="BK886" s="68"/>
      <c r="BL886" s="68"/>
      <c r="BM886" s="68"/>
      <c r="BN886" s="68"/>
      <c r="BO886" s="68"/>
      <c r="BP886" s="68"/>
      <c r="BQ886" s="68"/>
      <c r="BR886" s="68"/>
      <c r="BS886" s="68"/>
      <c r="BT886" s="68"/>
      <c r="BU886" s="68"/>
      <c r="BV886" s="68"/>
      <c r="BW886" s="68"/>
      <c r="BX886" s="68"/>
      <c r="BY886" s="68"/>
      <c r="BZ886" s="68"/>
      <c r="CA886" s="68"/>
      <c r="CB886" s="68"/>
      <c r="CC886" s="68"/>
    </row>
    <row r="887" spans="1:81" ht="15.75" x14ac:dyDescent="0.25">
      <c r="A887" s="68"/>
      <c r="B887" s="68"/>
      <c r="C887" s="68"/>
      <c r="D887" s="69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  <c r="AI887" s="68"/>
      <c r="AJ887" s="68"/>
      <c r="AK887" s="68"/>
      <c r="AL887" s="68"/>
      <c r="AM887" s="68"/>
      <c r="AN887" s="68"/>
      <c r="AO887" s="68"/>
      <c r="AP887" s="68"/>
      <c r="AQ887" s="68"/>
      <c r="AR887" s="68"/>
      <c r="AS887" s="68"/>
      <c r="AT887" s="68"/>
      <c r="AU887" s="68"/>
      <c r="AV887" s="68"/>
      <c r="AW887" s="68"/>
      <c r="AX887" s="68"/>
      <c r="AY887" s="68"/>
      <c r="AZ887" s="68"/>
      <c r="BA887" s="68"/>
      <c r="BB887" s="68"/>
      <c r="BC887" s="68"/>
      <c r="BD887" s="68"/>
      <c r="BE887" s="68"/>
      <c r="BF887" s="68"/>
      <c r="BG887" s="68"/>
      <c r="BH887" s="68"/>
      <c r="BI887" s="68"/>
      <c r="BJ887" s="68"/>
      <c r="BK887" s="68"/>
      <c r="BL887" s="68"/>
      <c r="BM887" s="68"/>
      <c r="BN887" s="68"/>
      <c r="BO887" s="68"/>
      <c r="BP887" s="68"/>
      <c r="BQ887" s="68"/>
      <c r="BR887" s="68"/>
      <c r="BS887" s="68"/>
      <c r="BT887" s="68"/>
      <c r="BU887" s="68"/>
      <c r="BV887" s="68"/>
      <c r="BW887" s="68"/>
      <c r="BX887" s="68"/>
      <c r="BY887" s="68"/>
      <c r="BZ887" s="68"/>
      <c r="CA887" s="68"/>
      <c r="CB887" s="68"/>
      <c r="CC887" s="68"/>
    </row>
    <row r="888" spans="1:81" ht="15.75" x14ac:dyDescent="0.25">
      <c r="A888" s="68"/>
      <c r="B888" s="68"/>
      <c r="C888" s="68"/>
      <c r="D888" s="69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  <c r="AI888" s="68"/>
      <c r="AJ888" s="68"/>
      <c r="AK888" s="68"/>
      <c r="AL888" s="68"/>
      <c r="AM888" s="68"/>
      <c r="AN888" s="68"/>
      <c r="AO888" s="68"/>
      <c r="AP888" s="68"/>
      <c r="AQ888" s="68"/>
      <c r="AR888" s="68"/>
      <c r="AS888" s="68"/>
      <c r="AT888" s="68"/>
      <c r="AU888" s="68"/>
      <c r="AV888" s="68"/>
      <c r="AW888" s="68"/>
      <c r="AX888" s="68"/>
      <c r="AY888" s="68"/>
      <c r="AZ888" s="68"/>
      <c r="BA888" s="68"/>
      <c r="BB888" s="68"/>
      <c r="BC888" s="68"/>
      <c r="BD888" s="68"/>
      <c r="BE888" s="68"/>
      <c r="BF888" s="68"/>
      <c r="BG888" s="68"/>
      <c r="BH888" s="68"/>
      <c r="BI888" s="68"/>
      <c r="BJ888" s="68"/>
      <c r="BK888" s="68"/>
      <c r="BL888" s="68"/>
      <c r="BM888" s="68"/>
      <c r="BN888" s="68"/>
      <c r="BO888" s="68"/>
      <c r="BP888" s="68"/>
      <c r="BQ888" s="68"/>
      <c r="BR888" s="68"/>
      <c r="BS888" s="68"/>
      <c r="BT888" s="68"/>
      <c r="BU888" s="68"/>
      <c r="BV888" s="68"/>
      <c r="BW888" s="68"/>
      <c r="BX888" s="68"/>
      <c r="BY888" s="68"/>
      <c r="BZ888" s="68"/>
      <c r="CA888" s="68"/>
      <c r="CB888" s="68"/>
      <c r="CC888" s="68"/>
    </row>
    <row r="889" spans="1:81" ht="15.75" x14ac:dyDescent="0.25">
      <c r="A889" s="68"/>
      <c r="B889" s="68"/>
      <c r="C889" s="68"/>
      <c r="D889" s="69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  <c r="AI889" s="68"/>
      <c r="AJ889" s="68"/>
      <c r="AK889" s="68"/>
      <c r="AL889" s="68"/>
      <c r="AM889" s="68"/>
      <c r="AN889" s="68"/>
      <c r="AO889" s="68"/>
      <c r="AP889" s="68"/>
      <c r="AQ889" s="68"/>
      <c r="AR889" s="68"/>
      <c r="AS889" s="68"/>
      <c r="AT889" s="68"/>
      <c r="AU889" s="68"/>
      <c r="AV889" s="68"/>
      <c r="AW889" s="68"/>
      <c r="AX889" s="68"/>
      <c r="AY889" s="68"/>
      <c r="AZ889" s="68"/>
      <c r="BA889" s="68"/>
      <c r="BB889" s="68"/>
      <c r="BC889" s="68"/>
      <c r="BD889" s="68"/>
      <c r="BE889" s="68"/>
      <c r="BF889" s="68"/>
      <c r="BG889" s="68"/>
      <c r="BH889" s="68"/>
      <c r="BI889" s="68"/>
      <c r="BJ889" s="68"/>
      <c r="BK889" s="68"/>
      <c r="BL889" s="68"/>
      <c r="BM889" s="68"/>
      <c r="BN889" s="68"/>
      <c r="BO889" s="68"/>
      <c r="BP889" s="68"/>
      <c r="BQ889" s="68"/>
      <c r="BR889" s="68"/>
      <c r="BS889" s="68"/>
      <c r="BT889" s="68"/>
      <c r="BU889" s="68"/>
      <c r="BV889" s="68"/>
      <c r="BW889" s="68"/>
      <c r="BX889" s="68"/>
      <c r="BY889" s="68"/>
      <c r="BZ889" s="68"/>
      <c r="CA889" s="68"/>
      <c r="CB889" s="68"/>
      <c r="CC889" s="68"/>
    </row>
    <row r="890" spans="1:81" ht="15.75" x14ac:dyDescent="0.25">
      <c r="A890" s="68"/>
      <c r="B890" s="68"/>
      <c r="C890" s="68"/>
      <c r="D890" s="69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  <c r="AI890" s="68"/>
      <c r="AJ890" s="68"/>
      <c r="AK890" s="68"/>
      <c r="AL890" s="68"/>
      <c r="AM890" s="68"/>
      <c r="AN890" s="68"/>
      <c r="AO890" s="68"/>
      <c r="AP890" s="68"/>
      <c r="AQ890" s="68"/>
      <c r="AR890" s="68"/>
      <c r="AS890" s="68"/>
      <c r="AT890" s="68"/>
      <c r="AU890" s="68"/>
      <c r="AV890" s="68"/>
      <c r="AW890" s="68"/>
      <c r="AX890" s="68"/>
      <c r="AY890" s="68"/>
      <c r="AZ890" s="68"/>
      <c r="BA890" s="68"/>
      <c r="BB890" s="68"/>
      <c r="BC890" s="68"/>
      <c r="BD890" s="68"/>
      <c r="BE890" s="68"/>
      <c r="BF890" s="68"/>
      <c r="BG890" s="68"/>
      <c r="BH890" s="68"/>
      <c r="BI890" s="68"/>
      <c r="BJ890" s="68"/>
      <c r="BK890" s="68"/>
      <c r="BL890" s="68"/>
      <c r="BM890" s="68"/>
      <c r="BN890" s="68"/>
      <c r="BO890" s="68"/>
      <c r="BP890" s="68"/>
      <c r="BQ890" s="68"/>
      <c r="BR890" s="68"/>
      <c r="BS890" s="68"/>
      <c r="BT890" s="68"/>
      <c r="BU890" s="68"/>
      <c r="BV890" s="68"/>
      <c r="BW890" s="68"/>
      <c r="BX890" s="68"/>
      <c r="BY890" s="68"/>
      <c r="BZ890" s="68"/>
      <c r="CA890" s="68"/>
      <c r="CB890" s="68"/>
      <c r="CC890" s="68"/>
    </row>
    <row r="891" spans="1:81" ht="15.75" x14ac:dyDescent="0.25">
      <c r="A891" s="68"/>
      <c r="B891" s="68"/>
      <c r="C891" s="68"/>
      <c r="D891" s="69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  <c r="AI891" s="68"/>
      <c r="AJ891" s="68"/>
      <c r="AK891" s="68"/>
      <c r="AL891" s="68"/>
      <c r="AM891" s="68"/>
      <c r="AN891" s="68"/>
      <c r="AO891" s="68"/>
      <c r="AP891" s="68"/>
      <c r="AQ891" s="68"/>
      <c r="AR891" s="68"/>
      <c r="AS891" s="68"/>
      <c r="AT891" s="68"/>
      <c r="AU891" s="68"/>
      <c r="AV891" s="68"/>
      <c r="AW891" s="68"/>
      <c r="AX891" s="68"/>
      <c r="AY891" s="68"/>
      <c r="AZ891" s="68"/>
      <c r="BA891" s="68"/>
      <c r="BB891" s="68"/>
      <c r="BC891" s="68"/>
      <c r="BD891" s="68"/>
      <c r="BE891" s="68"/>
      <c r="BF891" s="68"/>
      <c r="BG891" s="68"/>
      <c r="BH891" s="68"/>
      <c r="BI891" s="68"/>
      <c r="BJ891" s="68"/>
      <c r="BK891" s="68"/>
      <c r="BL891" s="68"/>
      <c r="BM891" s="68"/>
      <c r="BN891" s="68"/>
      <c r="BO891" s="68"/>
      <c r="BP891" s="68"/>
      <c r="BQ891" s="68"/>
      <c r="BR891" s="68"/>
      <c r="BS891" s="68"/>
      <c r="BT891" s="68"/>
      <c r="BU891" s="68"/>
      <c r="BV891" s="68"/>
      <c r="BW891" s="68"/>
      <c r="BX891" s="68"/>
      <c r="BY891" s="68"/>
      <c r="BZ891" s="68"/>
      <c r="CA891" s="68"/>
      <c r="CB891" s="68"/>
      <c r="CC891" s="68"/>
    </row>
    <row r="892" spans="1:81" ht="15.75" x14ac:dyDescent="0.25">
      <c r="A892" s="68"/>
      <c r="B892" s="68"/>
      <c r="C892" s="68"/>
      <c r="D892" s="69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  <c r="AI892" s="68"/>
      <c r="AJ892" s="68"/>
      <c r="AK892" s="68"/>
      <c r="AL892" s="68"/>
      <c r="AM892" s="68"/>
      <c r="AN892" s="68"/>
      <c r="AO892" s="68"/>
      <c r="AP892" s="68"/>
      <c r="AQ892" s="68"/>
      <c r="AR892" s="68"/>
      <c r="AS892" s="68"/>
      <c r="AT892" s="68"/>
      <c r="AU892" s="68"/>
      <c r="AV892" s="68"/>
      <c r="AW892" s="68"/>
      <c r="AX892" s="68"/>
      <c r="AY892" s="68"/>
      <c r="AZ892" s="68"/>
      <c r="BA892" s="68"/>
      <c r="BB892" s="68"/>
      <c r="BC892" s="68"/>
      <c r="BD892" s="68"/>
      <c r="BE892" s="68"/>
      <c r="BF892" s="68"/>
      <c r="BG892" s="68"/>
      <c r="BH892" s="68"/>
      <c r="BI892" s="68"/>
      <c r="BJ892" s="68"/>
      <c r="BK892" s="68"/>
      <c r="BL892" s="68"/>
      <c r="BM892" s="68"/>
      <c r="BN892" s="68"/>
      <c r="BO892" s="68"/>
      <c r="BP892" s="68"/>
      <c r="BQ892" s="68"/>
      <c r="BR892" s="68"/>
      <c r="BS892" s="68"/>
      <c r="BT892" s="68"/>
      <c r="BU892" s="68"/>
      <c r="BV892" s="68"/>
      <c r="BW892" s="68"/>
      <c r="BX892" s="68"/>
      <c r="BY892" s="68"/>
      <c r="BZ892" s="68"/>
      <c r="CA892" s="68"/>
      <c r="CB892" s="68"/>
      <c r="CC892" s="68"/>
    </row>
    <row r="893" spans="1:81" ht="15.75" x14ac:dyDescent="0.25">
      <c r="A893" s="68"/>
      <c r="B893" s="68"/>
      <c r="C893" s="68"/>
      <c r="D893" s="69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  <c r="AI893" s="68"/>
      <c r="AJ893" s="68"/>
      <c r="AK893" s="68"/>
      <c r="AL893" s="68"/>
      <c r="AM893" s="68"/>
      <c r="AN893" s="68"/>
      <c r="AO893" s="68"/>
      <c r="AP893" s="68"/>
      <c r="AQ893" s="68"/>
      <c r="AR893" s="68"/>
      <c r="AS893" s="68"/>
      <c r="AT893" s="68"/>
      <c r="AU893" s="68"/>
      <c r="AV893" s="68"/>
      <c r="AW893" s="68"/>
      <c r="AX893" s="68"/>
      <c r="AY893" s="68"/>
      <c r="AZ893" s="68"/>
      <c r="BA893" s="68"/>
      <c r="BB893" s="68"/>
      <c r="BC893" s="68"/>
      <c r="BD893" s="68"/>
      <c r="BE893" s="68"/>
      <c r="BF893" s="68"/>
      <c r="BG893" s="68"/>
      <c r="BH893" s="68"/>
      <c r="BI893" s="68"/>
      <c r="BJ893" s="68"/>
      <c r="BK893" s="68"/>
      <c r="BL893" s="68"/>
      <c r="BM893" s="68"/>
      <c r="BN893" s="68"/>
      <c r="BO893" s="68"/>
      <c r="BP893" s="68"/>
      <c r="BQ893" s="68"/>
      <c r="BR893" s="68"/>
      <c r="BS893" s="68"/>
      <c r="BT893" s="68"/>
      <c r="BU893" s="68"/>
      <c r="BV893" s="68"/>
      <c r="BW893" s="68"/>
      <c r="BX893" s="68"/>
      <c r="BY893" s="68"/>
      <c r="BZ893" s="68"/>
      <c r="CA893" s="68"/>
      <c r="CB893" s="68"/>
      <c r="CC893" s="68"/>
    </row>
    <row r="894" spans="1:81" ht="15.75" x14ac:dyDescent="0.25">
      <c r="A894" s="68"/>
      <c r="B894" s="68"/>
      <c r="C894" s="68"/>
      <c r="D894" s="69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  <c r="AI894" s="68"/>
      <c r="AJ894" s="68"/>
      <c r="AK894" s="68"/>
      <c r="AL894" s="68"/>
      <c r="AM894" s="68"/>
      <c r="AN894" s="68"/>
      <c r="AO894" s="68"/>
      <c r="AP894" s="68"/>
      <c r="AQ894" s="68"/>
      <c r="AR894" s="68"/>
      <c r="AS894" s="68"/>
      <c r="AT894" s="68"/>
      <c r="AU894" s="68"/>
      <c r="AV894" s="68"/>
      <c r="AW894" s="68"/>
      <c r="AX894" s="68"/>
      <c r="AY894" s="68"/>
      <c r="AZ894" s="68"/>
      <c r="BA894" s="68"/>
      <c r="BB894" s="68"/>
      <c r="BC894" s="68"/>
      <c r="BD894" s="68"/>
      <c r="BE894" s="68"/>
      <c r="BF894" s="68"/>
      <c r="BG894" s="68"/>
      <c r="BH894" s="68"/>
      <c r="BI894" s="68"/>
      <c r="BJ894" s="68"/>
      <c r="BK894" s="68"/>
      <c r="BL894" s="68"/>
      <c r="BM894" s="68"/>
      <c r="BN894" s="68"/>
      <c r="BO894" s="68"/>
      <c r="BP894" s="68"/>
      <c r="BQ894" s="68"/>
      <c r="BR894" s="68"/>
      <c r="BS894" s="68"/>
      <c r="BT894" s="68"/>
      <c r="BU894" s="68"/>
      <c r="BV894" s="68"/>
      <c r="BW894" s="68"/>
      <c r="BX894" s="68"/>
      <c r="BY894" s="68"/>
      <c r="BZ894" s="68"/>
      <c r="CA894" s="68"/>
      <c r="CB894" s="68"/>
      <c r="CC894" s="68"/>
    </row>
    <row r="895" spans="1:81" ht="15.75" x14ac:dyDescent="0.25">
      <c r="A895" s="68"/>
      <c r="B895" s="68"/>
      <c r="C895" s="68"/>
      <c r="D895" s="69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  <c r="AI895" s="68"/>
      <c r="AJ895" s="68"/>
      <c r="AK895" s="68"/>
      <c r="AL895" s="68"/>
      <c r="AM895" s="68"/>
      <c r="AN895" s="68"/>
      <c r="AO895" s="68"/>
      <c r="AP895" s="68"/>
      <c r="AQ895" s="68"/>
      <c r="AR895" s="68"/>
      <c r="AS895" s="68"/>
      <c r="AT895" s="68"/>
      <c r="AU895" s="68"/>
      <c r="AV895" s="68"/>
      <c r="AW895" s="68"/>
      <c r="AX895" s="68"/>
      <c r="AY895" s="68"/>
      <c r="AZ895" s="68"/>
      <c r="BA895" s="68"/>
      <c r="BB895" s="68"/>
      <c r="BC895" s="68"/>
      <c r="BD895" s="68"/>
      <c r="BE895" s="68"/>
      <c r="BF895" s="68"/>
      <c r="BG895" s="68"/>
      <c r="BH895" s="68"/>
      <c r="BI895" s="68"/>
      <c r="BJ895" s="68"/>
      <c r="BK895" s="68"/>
      <c r="BL895" s="68"/>
      <c r="BM895" s="68"/>
      <c r="BN895" s="68"/>
      <c r="BO895" s="68"/>
      <c r="BP895" s="68"/>
      <c r="BQ895" s="68"/>
      <c r="BR895" s="68"/>
      <c r="BS895" s="68"/>
      <c r="BT895" s="68"/>
      <c r="BU895" s="68"/>
      <c r="BV895" s="68"/>
      <c r="BW895" s="68"/>
      <c r="BX895" s="68"/>
      <c r="BY895" s="68"/>
      <c r="BZ895" s="68"/>
      <c r="CA895" s="68"/>
      <c r="CB895" s="68"/>
      <c r="CC895" s="68"/>
    </row>
    <row r="896" spans="1:81" ht="15.75" x14ac:dyDescent="0.25">
      <c r="A896" s="68"/>
      <c r="B896" s="68"/>
      <c r="C896" s="68"/>
      <c r="D896" s="69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  <c r="AI896" s="68"/>
      <c r="AJ896" s="68"/>
      <c r="AK896" s="68"/>
      <c r="AL896" s="68"/>
      <c r="AM896" s="68"/>
      <c r="AN896" s="68"/>
      <c r="AO896" s="68"/>
      <c r="AP896" s="68"/>
      <c r="AQ896" s="68"/>
      <c r="AR896" s="68"/>
      <c r="AS896" s="68"/>
      <c r="AT896" s="68"/>
      <c r="AU896" s="68"/>
      <c r="AV896" s="68"/>
      <c r="AW896" s="68"/>
      <c r="AX896" s="68"/>
      <c r="AY896" s="68"/>
      <c r="AZ896" s="68"/>
      <c r="BA896" s="68"/>
      <c r="BB896" s="68"/>
      <c r="BC896" s="68"/>
      <c r="BD896" s="68"/>
      <c r="BE896" s="68"/>
      <c r="BF896" s="68"/>
      <c r="BG896" s="68"/>
      <c r="BH896" s="68"/>
      <c r="BI896" s="68"/>
      <c r="BJ896" s="68"/>
      <c r="BK896" s="68"/>
      <c r="BL896" s="68"/>
      <c r="BM896" s="68"/>
      <c r="BN896" s="68"/>
      <c r="BO896" s="68"/>
      <c r="BP896" s="68"/>
      <c r="BQ896" s="68"/>
      <c r="BR896" s="68"/>
      <c r="BS896" s="68"/>
      <c r="BT896" s="68"/>
      <c r="BU896" s="68"/>
      <c r="BV896" s="68"/>
      <c r="BW896" s="68"/>
      <c r="BX896" s="68"/>
      <c r="BY896" s="68"/>
      <c r="BZ896" s="68"/>
      <c r="CA896" s="68"/>
      <c r="CB896" s="68"/>
      <c r="CC896" s="68"/>
    </row>
    <row r="897" spans="1:81" ht="15.75" x14ac:dyDescent="0.25">
      <c r="A897" s="68"/>
      <c r="B897" s="68"/>
      <c r="C897" s="68"/>
      <c r="D897" s="69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  <c r="AI897" s="68"/>
      <c r="AJ897" s="68"/>
      <c r="AK897" s="68"/>
      <c r="AL897" s="68"/>
      <c r="AM897" s="68"/>
      <c r="AN897" s="68"/>
      <c r="AO897" s="68"/>
      <c r="AP897" s="68"/>
      <c r="AQ897" s="68"/>
      <c r="AR897" s="68"/>
      <c r="AS897" s="68"/>
      <c r="AT897" s="68"/>
      <c r="AU897" s="68"/>
      <c r="AV897" s="68"/>
      <c r="AW897" s="68"/>
      <c r="AX897" s="68"/>
      <c r="AY897" s="68"/>
      <c r="AZ897" s="68"/>
      <c r="BA897" s="68"/>
      <c r="BB897" s="68"/>
      <c r="BC897" s="68"/>
      <c r="BD897" s="68"/>
      <c r="BE897" s="68"/>
      <c r="BF897" s="68"/>
      <c r="BG897" s="68"/>
      <c r="BH897" s="68"/>
      <c r="BI897" s="68"/>
      <c r="BJ897" s="68"/>
      <c r="BK897" s="68"/>
      <c r="BL897" s="68"/>
      <c r="BM897" s="68"/>
      <c r="BN897" s="68"/>
      <c r="BO897" s="68"/>
      <c r="BP897" s="68"/>
      <c r="BQ897" s="68"/>
      <c r="BR897" s="68"/>
      <c r="BS897" s="68"/>
      <c r="BT897" s="68"/>
      <c r="BU897" s="68"/>
      <c r="BV897" s="68"/>
      <c r="BW897" s="68"/>
      <c r="BX897" s="68"/>
      <c r="BY897" s="68"/>
      <c r="BZ897" s="68"/>
      <c r="CA897" s="68"/>
      <c r="CB897" s="68"/>
      <c r="CC897" s="68"/>
    </row>
    <row r="898" spans="1:81" ht="15.75" x14ac:dyDescent="0.25">
      <c r="A898" s="68"/>
      <c r="B898" s="68"/>
      <c r="C898" s="68"/>
      <c r="D898" s="69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  <c r="AI898" s="68"/>
      <c r="AJ898" s="68"/>
      <c r="AK898" s="68"/>
      <c r="AL898" s="68"/>
      <c r="AM898" s="68"/>
      <c r="AN898" s="68"/>
      <c r="AO898" s="68"/>
      <c r="AP898" s="68"/>
      <c r="AQ898" s="68"/>
      <c r="AR898" s="68"/>
      <c r="AS898" s="68"/>
      <c r="AT898" s="68"/>
      <c r="AU898" s="68"/>
      <c r="AV898" s="68"/>
      <c r="AW898" s="68"/>
      <c r="AX898" s="68"/>
      <c r="AY898" s="68"/>
      <c r="AZ898" s="68"/>
      <c r="BA898" s="68"/>
      <c r="BB898" s="68"/>
      <c r="BC898" s="68"/>
      <c r="BD898" s="68"/>
      <c r="BE898" s="68"/>
      <c r="BF898" s="68"/>
      <c r="BG898" s="68"/>
      <c r="BH898" s="68"/>
      <c r="BI898" s="68"/>
      <c r="BJ898" s="68"/>
      <c r="BK898" s="68"/>
      <c r="BL898" s="68"/>
      <c r="BM898" s="68"/>
      <c r="BN898" s="68"/>
      <c r="BO898" s="68"/>
      <c r="BP898" s="68"/>
      <c r="BQ898" s="68"/>
      <c r="BR898" s="68"/>
      <c r="BS898" s="68"/>
      <c r="BT898" s="68"/>
      <c r="BU898" s="68"/>
      <c r="BV898" s="68"/>
      <c r="BW898" s="68"/>
      <c r="BX898" s="68"/>
      <c r="BY898" s="68"/>
      <c r="BZ898" s="68"/>
      <c r="CA898" s="68"/>
      <c r="CB898" s="68"/>
      <c r="CC898" s="68"/>
    </row>
    <row r="899" spans="1:81" ht="15.75" x14ac:dyDescent="0.25">
      <c r="A899" s="68"/>
      <c r="B899" s="68"/>
      <c r="C899" s="68"/>
      <c r="D899" s="69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  <c r="AI899" s="68"/>
      <c r="AJ899" s="68"/>
      <c r="AK899" s="68"/>
      <c r="AL899" s="68"/>
      <c r="AM899" s="68"/>
      <c r="AN899" s="68"/>
      <c r="AO899" s="68"/>
      <c r="AP899" s="68"/>
      <c r="AQ899" s="68"/>
      <c r="AR899" s="68"/>
      <c r="AS899" s="68"/>
      <c r="AT899" s="68"/>
      <c r="AU899" s="68"/>
      <c r="AV899" s="68"/>
      <c r="AW899" s="68"/>
      <c r="AX899" s="68"/>
      <c r="AY899" s="68"/>
      <c r="AZ899" s="68"/>
      <c r="BA899" s="68"/>
      <c r="BB899" s="68"/>
      <c r="BC899" s="68"/>
      <c r="BD899" s="68"/>
      <c r="BE899" s="68"/>
      <c r="BF899" s="68"/>
      <c r="BG899" s="68"/>
      <c r="BH899" s="68"/>
      <c r="BI899" s="68"/>
      <c r="BJ899" s="68"/>
      <c r="BK899" s="68"/>
      <c r="BL899" s="68"/>
      <c r="BM899" s="68"/>
      <c r="BN899" s="68"/>
      <c r="BO899" s="68"/>
      <c r="BP899" s="68"/>
      <c r="BQ899" s="68"/>
      <c r="BR899" s="68"/>
      <c r="BS899" s="68"/>
      <c r="BT899" s="68"/>
      <c r="BU899" s="68"/>
      <c r="BV899" s="68"/>
      <c r="BW899" s="68"/>
      <c r="BX899" s="68"/>
      <c r="BY899" s="68"/>
      <c r="BZ899" s="68"/>
      <c r="CA899" s="68"/>
      <c r="CB899" s="68"/>
      <c r="CC899" s="68"/>
    </row>
    <row r="900" spans="1:81" ht="15.75" x14ac:dyDescent="0.25">
      <c r="A900" s="68"/>
      <c r="B900" s="68"/>
      <c r="C900" s="68"/>
      <c r="D900" s="69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  <c r="AI900" s="68"/>
      <c r="AJ900" s="68"/>
      <c r="AK900" s="68"/>
      <c r="AL900" s="68"/>
      <c r="AM900" s="68"/>
      <c r="AN900" s="68"/>
      <c r="AO900" s="68"/>
      <c r="AP900" s="68"/>
      <c r="AQ900" s="68"/>
      <c r="AR900" s="68"/>
      <c r="AS900" s="68"/>
      <c r="AT900" s="68"/>
      <c r="AU900" s="68"/>
      <c r="AV900" s="68"/>
      <c r="AW900" s="68"/>
      <c r="AX900" s="68"/>
      <c r="AY900" s="68"/>
      <c r="AZ900" s="68"/>
      <c r="BA900" s="68"/>
      <c r="BB900" s="68"/>
      <c r="BC900" s="68"/>
      <c r="BD900" s="68"/>
      <c r="BE900" s="68"/>
      <c r="BF900" s="68"/>
      <c r="BG900" s="68"/>
      <c r="BH900" s="68"/>
      <c r="BI900" s="68"/>
      <c r="BJ900" s="68"/>
      <c r="BK900" s="68"/>
      <c r="BL900" s="68"/>
      <c r="BM900" s="68"/>
      <c r="BN900" s="68"/>
      <c r="BO900" s="68"/>
      <c r="BP900" s="68"/>
      <c r="BQ900" s="68"/>
      <c r="BR900" s="68"/>
      <c r="BS900" s="68"/>
      <c r="BT900" s="68"/>
      <c r="BU900" s="68"/>
      <c r="BV900" s="68"/>
      <c r="BW900" s="68"/>
      <c r="BX900" s="68"/>
      <c r="BY900" s="68"/>
      <c r="BZ900" s="68"/>
      <c r="CA900" s="68"/>
      <c r="CB900" s="68"/>
      <c r="CC900" s="68"/>
    </row>
    <row r="901" spans="1:81" ht="15.75" x14ac:dyDescent="0.25">
      <c r="A901" s="68"/>
      <c r="B901" s="68"/>
      <c r="C901" s="68"/>
      <c r="D901" s="69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  <c r="AI901" s="68"/>
      <c r="AJ901" s="68"/>
      <c r="AK901" s="68"/>
      <c r="AL901" s="68"/>
      <c r="AM901" s="68"/>
      <c r="AN901" s="68"/>
      <c r="AO901" s="68"/>
      <c r="AP901" s="68"/>
      <c r="AQ901" s="68"/>
      <c r="AR901" s="68"/>
      <c r="AS901" s="68"/>
      <c r="AT901" s="68"/>
      <c r="AU901" s="68"/>
      <c r="AV901" s="68"/>
      <c r="AW901" s="68"/>
      <c r="AX901" s="68"/>
      <c r="AY901" s="68"/>
      <c r="AZ901" s="68"/>
      <c r="BA901" s="68"/>
      <c r="BB901" s="68"/>
      <c r="BC901" s="68"/>
      <c r="BD901" s="68"/>
      <c r="BE901" s="68"/>
      <c r="BF901" s="68"/>
      <c r="BG901" s="68"/>
      <c r="BH901" s="68"/>
      <c r="BI901" s="68"/>
      <c r="BJ901" s="68"/>
      <c r="BK901" s="68"/>
      <c r="BL901" s="68"/>
      <c r="BM901" s="68"/>
      <c r="BN901" s="68"/>
      <c r="BO901" s="68"/>
      <c r="BP901" s="68"/>
      <c r="BQ901" s="68"/>
      <c r="BR901" s="68"/>
      <c r="BS901" s="68"/>
      <c r="BT901" s="68"/>
      <c r="BU901" s="68"/>
      <c r="BV901" s="68"/>
      <c r="BW901" s="68"/>
      <c r="BX901" s="68"/>
      <c r="BY901" s="68"/>
      <c r="BZ901" s="68"/>
      <c r="CA901" s="68"/>
      <c r="CB901" s="68"/>
      <c r="CC901" s="68"/>
    </row>
    <row r="902" spans="1:81" ht="15.75" x14ac:dyDescent="0.25">
      <c r="A902" s="68"/>
      <c r="B902" s="68"/>
      <c r="C902" s="68"/>
      <c r="D902" s="69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  <c r="AI902" s="68"/>
      <c r="AJ902" s="68"/>
      <c r="AK902" s="68"/>
      <c r="AL902" s="68"/>
      <c r="AM902" s="68"/>
      <c r="AN902" s="68"/>
      <c r="AO902" s="68"/>
      <c r="AP902" s="68"/>
      <c r="AQ902" s="68"/>
      <c r="AR902" s="68"/>
      <c r="AS902" s="68"/>
      <c r="AT902" s="68"/>
      <c r="AU902" s="68"/>
      <c r="AV902" s="68"/>
      <c r="AW902" s="68"/>
      <c r="AX902" s="68"/>
      <c r="AY902" s="68"/>
      <c r="AZ902" s="68"/>
      <c r="BA902" s="68"/>
      <c r="BB902" s="68"/>
      <c r="BC902" s="68"/>
      <c r="BD902" s="68"/>
      <c r="BE902" s="68"/>
      <c r="BF902" s="68"/>
      <c r="BG902" s="68"/>
      <c r="BH902" s="68"/>
      <c r="BI902" s="68"/>
      <c r="BJ902" s="68"/>
      <c r="BK902" s="68"/>
      <c r="BL902" s="68"/>
      <c r="BM902" s="68"/>
      <c r="BN902" s="68"/>
      <c r="BO902" s="68"/>
      <c r="BP902" s="68"/>
      <c r="BQ902" s="68"/>
      <c r="BR902" s="68"/>
      <c r="BS902" s="68"/>
      <c r="BT902" s="68"/>
      <c r="BU902" s="68"/>
      <c r="BV902" s="68"/>
      <c r="BW902" s="68"/>
      <c r="BX902" s="68"/>
      <c r="BY902" s="68"/>
      <c r="BZ902" s="68"/>
      <c r="CA902" s="68"/>
      <c r="CB902" s="68"/>
      <c r="CC902" s="68"/>
    </row>
    <row r="903" spans="1:81" ht="15.75" x14ac:dyDescent="0.25">
      <c r="A903" s="68"/>
      <c r="B903" s="68"/>
      <c r="C903" s="68"/>
      <c r="D903" s="69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  <c r="AI903" s="68"/>
      <c r="AJ903" s="68"/>
      <c r="AK903" s="68"/>
      <c r="AL903" s="68"/>
      <c r="AM903" s="68"/>
      <c r="AN903" s="68"/>
      <c r="AO903" s="68"/>
      <c r="AP903" s="68"/>
      <c r="AQ903" s="68"/>
      <c r="AR903" s="68"/>
      <c r="AS903" s="68"/>
      <c r="AT903" s="68"/>
      <c r="AU903" s="68"/>
      <c r="AV903" s="68"/>
      <c r="AW903" s="68"/>
      <c r="AX903" s="68"/>
      <c r="AY903" s="68"/>
      <c r="AZ903" s="68"/>
      <c r="BA903" s="68"/>
      <c r="BB903" s="68"/>
      <c r="BC903" s="68"/>
      <c r="BD903" s="68"/>
      <c r="BE903" s="68"/>
      <c r="BF903" s="68"/>
      <c r="BG903" s="68"/>
      <c r="BH903" s="68"/>
      <c r="BI903" s="68"/>
      <c r="BJ903" s="68"/>
      <c r="BK903" s="68"/>
      <c r="BL903" s="68"/>
      <c r="BM903" s="68"/>
      <c r="BN903" s="68"/>
      <c r="BO903" s="68"/>
      <c r="BP903" s="68"/>
      <c r="BQ903" s="68"/>
      <c r="BR903" s="68"/>
      <c r="BS903" s="68"/>
      <c r="BT903" s="68"/>
      <c r="BU903" s="68"/>
      <c r="BV903" s="68"/>
      <c r="BW903" s="68"/>
      <c r="BX903" s="68"/>
      <c r="BY903" s="68"/>
      <c r="BZ903" s="68"/>
      <c r="CA903" s="68"/>
      <c r="CB903" s="68"/>
      <c r="CC903" s="68"/>
    </row>
    <row r="904" spans="1:81" ht="15.75" x14ac:dyDescent="0.25">
      <c r="A904" s="68"/>
      <c r="B904" s="68"/>
      <c r="C904" s="68"/>
      <c r="D904" s="69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  <c r="AI904" s="68"/>
      <c r="AJ904" s="68"/>
      <c r="AK904" s="68"/>
      <c r="AL904" s="68"/>
      <c r="AM904" s="68"/>
      <c r="AN904" s="68"/>
      <c r="AO904" s="68"/>
      <c r="AP904" s="68"/>
      <c r="AQ904" s="68"/>
      <c r="AR904" s="68"/>
      <c r="AS904" s="68"/>
      <c r="AT904" s="68"/>
      <c r="AU904" s="68"/>
      <c r="AV904" s="68"/>
      <c r="AW904" s="68"/>
      <c r="AX904" s="68"/>
      <c r="AY904" s="68"/>
      <c r="AZ904" s="68"/>
      <c r="BA904" s="68"/>
      <c r="BB904" s="68"/>
      <c r="BC904" s="68"/>
      <c r="BD904" s="68"/>
      <c r="BE904" s="68"/>
      <c r="BF904" s="68"/>
      <c r="BG904" s="68"/>
      <c r="BH904" s="68"/>
      <c r="BI904" s="68"/>
      <c r="BJ904" s="68"/>
      <c r="BK904" s="68"/>
      <c r="BL904" s="68"/>
      <c r="BM904" s="68"/>
      <c r="BN904" s="68"/>
      <c r="BO904" s="68"/>
      <c r="BP904" s="68"/>
      <c r="BQ904" s="68"/>
      <c r="BR904" s="68"/>
      <c r="BS904" s="68"/>
      <c r="BT904" s="68"/>
      <c r="BU904" s="68"/>
      <c r="BV904" s="68"/>
      <c r="BW904" s="68"/>
      <c r="BX904" s="68"/>
      <c r="BY904" s="68"/>
      <c r="BZ904" s="68"/>
      <c r="CA904" s="68"/>
      <c r="CB904" s="68"/>
      <c r="CC904" s="68"/>
    </row>
    <row r="905" spans="1:81" ht="15.75" x14ac:dyDescent="0.25">
      <c r="A905" s="68"/>
      <c r="B905" s="68"/>
      <c r="C905" s="68"/>
      <c r="D905" s="69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  <c r="AI905" s="68"/>
      <c r="AJ905" s="68"/>
      <c r="AK905" s="68"/>
      <c r="AL905" s="68"/>
      <c r="AM905" s="68"/>
      <c r="AN905" s="68"/>
      <c r="AO905" s="68"/>
      <c r="AP905" s="68"/>
      <c r="AQ905" s="68"/>
      <c r="AR905" s="68"/>
      <c r="AS905" s="68"/>
      <c r="AT905" s="68"/>
      <c r="AU905" s="68"/>
      <c r="AV905" s="68"/>
      <c r="AW905" s="68"/>
      <c r="AX905" s="68"/>
      <c r="AY905" s="68"/>
      <c r="AZ905" s="68"/>
      <c r="BA905" s="68"/>
      <c r="BB905" s="68"/>
      <c r="BC905" s="68"/>
      <c r="BD905" s="68"/>
      <c r="BE905" s="68"/>
      <c r="BF905" s="68"/>
      <c r="BG905" s="68"/>
      <c r="BH905" s="68"/>
      <c r="BI905" s="68"/>
      <c r="BJ905" s="68"/>
      <c r="BK905" s="68"/>
      <c r="BL905" s="68"/>
      <c r="BM905" s="68"/>
      <c r="BN905" s="68"/>
      <c r="BO905" s="68"/>
      <c r="BP905" s="68"/>
      <c r="BQ905" s="68"/>
      <c r="BR905" s="68"/>
      <c r="BS905" s="68"/>
      <c r="BT905" s="68"/>
      <c r="BU905" s="68"/>
      <c r="BV905" s="68"/>
      <c r="BW905" s="68"/>
      <c r="BX905" s="68"/>
      <c r="BY905" s="68"/>
      <c r="BZ905" s="68"/>
      <c r="CA905" s="68"/>
      <c r="CB905" s="68"/>
      <c r="CC905" s="68"/>
    </row>
    <row r="906" spans="1:81" ht="15.75" x14ac:dyDescent="0.25">
      <c r="A906" s="68"/>
      <c r="B906" s="68"/>
      <c r="C906" s="68"/>
      <c r="D906" s="69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  <c r="AI906" s="68"/>
      <c r="AJ906" s="68"/>
      <c r="AK906" s="68"/>
      <c r="AL906" s="68"/>
      <c r="AM906" s="68"/>
      <c r="AN906" s="68"/>
      <c r="AO906" s="68"/>
      <c r="AP906" s="68"/>
      <c r="AQ906" s="68"/>
      <c r="AR906" s="68"/>
      <c r="AS906" s="68"/>
      <c r="AT906" s="68"/>
      <c r="AU906" s="68"/>
      <c r="AV906" s="68"/>
      <c r="AW906" s="68"/>
      <c r="AX906" s="68"/>
      <c r="AY906" s="68"/>
      <c r="AZ906" s="68"/>
      <c r="BA906" s="68"/>
      <c r="BB906" s="68"/>
      <c r="BC906" s="68"/>
      <c r="BD906" s="68"/>
      <c r="BE906" s="68"/>
      <c r="BF906" s="68"/>
      <c r="BG906" s="68"/>
      <c r="BH906" s="68"/>
      <c r="BI906" s="68"/>
      <c r="BJ906" s="68"/>
      <c r="BK906" s="68"/>
      <c r="BL906" s="68"/>
      <c r="BM906" s="68"/>
      <c r="BN906" s="68"/>
      <c r="BO906" s="68"/>
      <c r="BP906" s="68"/>
      <c r="BQ906" s="68"/>
      <c r="BR906" s="68"/>
      <c r="BS906" s="68"/>
      <c r="BT906" s="68"/>
      <c r="BU906" s="68"/>
      <c r="BV906" s="68"/>
      <c r="BW906" s="68"/>
      <c r="BX906" s="68"/>
      <c r="BY906" s="68"/>
      <c r="BZ906" s="68"/>
      <c r="CA906" s="68"/>
      <c r="CB906" s="68"/>
      <c r="CC906" s="68"/>
    </row>
    <row r="907" spans="1:81" ht="15.75" x14ac:dyDescent="0.25">
      <c r="A907" s="68"/>
      <c r="B907" s="68"/>
      <c r="C907" s="68"/>
      <c r="D907" s="69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  <c r="AI907" s="68"/>
      <c r="AJ907" s="68"/>
      <c r="AK907" s="68"/>
      <c r="AL907" s="68"/>
      <c r="AM907" s="68"/>
      <c r="AN907" s="68"/>
      <c r="AO907" s="68"/>
      <c r="AP907" s="68"/>
      <c r="AQ907" s="68"/>
      <c r="AR907" s="68"/>
      <c r="AS907" s="68"/>
      <c r="AT907" s="68"/>
      <c r="AU907" s="68"/>
      <c r="AV907" s="68"/>
      <c r="AW907" s="68"/>
      <c r="AX907" s="68"/>
      <c r="AY907" s="68"/>
      <c r="AZ907" s="68"/>
      <c r="BA907" s="68"/>
      <c r="BB907" s="68"/>
      <c r="BC907" s="68"/>
      <c r="BD907" s="68"/>
      <c r="BE907" s="68"/>
      <c r="BF907" s="68"/>
      <c r="BG907" s="68"/>
      <c r="BH907" s="68"/>
      <c r="BI907" s="68"/>
      <c r="BJ907" s="68"/>
      <c r="BK907" s="68"/>
      <c r="BL907" s="68"/>
      <c r="BM907" s="68"/>
      <c r="BN907" s="68"/>
      <c r="BO907" s="68"/>
      <c r="BP907" s="68"/>
      <c r="BQ907" s="68"/>
      <c r="BR907" s="68"/>
      <c r="BS907" s="68"/>
      <c r="BT907" s="68"/>
      <c r="BU907" s="68"/>
      <c r="BV907" s="68"/>
      <c r="BW907" s="68"/>
      <c r="BX907" s="68"/>
      <c r="BY907" s="68"/>
      <c r="BZ907" s="68"/>
      <c r="CA907" s="68"/>
      <c r="CB907" s="68"/>
      <c r="CC907" s="68"/>
    </row>
    <row r="908" spans="1:81" ht="15.75" x14ac:dyDescent="0.25">
      <c r="A908" s="68"/>
      <c r="B908" s="68"/>
      <c r="C908" s="68"/>
      <c r="D908" s="69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  <c r="AI908" s="68"/>
      <c r="AJ908" s="68"/>
      <c r="AK908" s="68"/>
      <c r="AL908" s="68"/>
      <c r="AM908" s="68"/>
      <c r="AN908" s="68"/>
      <c r="AO908" s="68"/>
      <c r="AP908" s="68"/>
      <c r="AQ908" s="68"/>
      <c r="AR908" s="68"/>
      <c r="AS908" s="68"/>
      <c r="AT908" s="68"/>
      <c r="AU908" s="68"/>
      <c r="AV908" s="68"/>
      <c r="AW908" s="68"/>
      <c r="AX908" s="68"/>
      <c r="AY908" s="68"/>
      <c r="AZ908" s="68"/>
      <c r="BA908" s="68"/>
      <c r="BB908" s="68"/>
      <c r="BC908" s="68"/>
      <c r="BD908" s="68"/>
      <c r="BE908" s="68"/>
      <c r="BF908" s="68"/>
      <c r="BG908" s="68"/>
      <c r="BH908" s="68"/>
      <c r="BI908" s="68"/>
      <c r="BJ908" s="68"/>
      <c r="BK908" s="68"/>
      <c r="BL908" s="68"/>
      <c r="BM908" s="68"/>
      <c r="BN908" s="68"/>
      <c r="BO908" s="68"/>
      <c r="BP908" s="68"/>
      <c r="BQ908" s="68"/>
      <c r="BR908" s="68"/>
      <c r="BS908" s="68"/>
      <c r="BT908" s="68"/>
      <c r="BU908" s="68"/>
      <c r="BV908" s="68"/>
      <c r="BW908" s="68"/>
      <c r="BX908" s="68"/>
      <c r="BY908" s="68"/>
      <c r="BZ908" s="68"/>
      <c r="CA908" s="68"/>
      <c r="CB908" s="68"/>
      <c r="CC908" s="68"/>
    </row>
    <row r="909" spans="1:81" ht="15.75" x14ac:dyDescent="0.25">
      <c r="A909" s="68"/>
      <c r="B909" s="68"/>
      <c r="C909" s="68"/>
      <c r="D909" s="69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  <c r="AI909" s="68"/>
      <c r="AJ909" s="68"/>
      <c r="AK909" s="68"/>
      <c r="AL909" s="68"/>
      <c r="AM909" s="68"/>
      <c r="AN909" s="68"/>
      <c r="AO909" s="68"/>
      <c r="AP909" s="68"/>
      <c r="AQ909" s="68"/>
      <c r="AR909" s="68"/>
      <c r="AS909" s="68"/>
      <c r="AT909" s="68"/>
      <c r="AU909" s="68"/>
      <c r="AV909" s="68"/>
      <c r="AW909" s="68"/>
      <c r="AX909" s="68"/>
      <c r="AY909" s="68"/>
      <c r="AZ909" s="68"/>
      <c r="BA909" s="68"/>
      <c r="BB909" s="68"/>
      <c r="BC909" s="68"/>
      <c r="BD909" s="68"/>
      <c r="BE909" s="68"/>
      <c r="BF909" s="68"/>
      <c r="BG909" s="68"/>
      <c r="BH909" s="68"/>
      <c r="BI909" s="68"/>
      <c r="BJ909" s="68"/>
      <c r="BK909" s="68"/>
      <c r="BL909" s="68"/>
      <c r="BM909" s="68"/>
      <c r="BN909" s="68"/>
      <c r="BO909" s="68"/>
      <c r="BP909" s="68"/>
      <c r="BQ909" s="68"/>
      <c r="BR909" s="68"/>
      <c r="BS909" s="68"/>
      <c r="BT909" s="68"/>
      <c r="BU909" s="68"/>
      <c r="BV909" s="68"/>
      <c r="BW909" s="68"/>
      <c r="BX909" s="68"/>
      <c r="BY909" s="68"/>
      <c r="BZ909" s="68"/>
      <c r="CA909" s="68"/>
      <c r="CB909" s="68"/>
      <c r="CC909" s="68"/>
    </row>
    <row r="910" spans="1:81" ht="15.75" x14ac:dyDescent="0.25">
      <c r="A910" s="68"/>
      <c r="B910" s="68"/>
      <c r="C910" s="68"/>
      <c r="D910" s="69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  <c r="AI910" s="68"/>
      <c r="AJ910" s="68"/>
      <c r="AK910" s="68"/>
      <c r="AL910" s="68"/>
      <c r="AM910" s="68"/>
      <c r="AN910" s="68"/>
      <c r="AO910" s="68"/>
      <c r="AP910" s="68"/>
      <c r="AQ910" s="68"/>
      <c r="AR910" s="68"/>
      <c r="AS910" s="68"/>
      <c r="AT910" s="68"/>
      <c r="AU910" s="68"/>
      <c r="AV910" s="68"/>
      <c r="AW910" s="68"/>
      <c r="AX910" s="68"/>
      <c r="AY910" s="68"/>
      <c r="AZ910" s="68"/>
      <c r="BA910" s="68"/>
      <c r="BB910" s="68"/>
      <c r="BC910" s="68"/>
      <c r="BD910" s="68"/>
      <c r="BE910" s="68"/>
      <c r="BF910" s="68"/>
      <c r="BG910" s="68"/>
      <c r="BH910" s="68"/>
      <c r="BI910" s="68"/>
      <c r="BJ910" s="68"/>
      <c r="BK910" s="68"/>
      <c r="BL910" s="68"/>
      <c r="BM910" s="68"/>
      <c r="BN910" s="68"/>
      <c r="BO910" s="68"/>
      <c r="BP910" s="68"/>
      <c r="BQ910" s="68"/>
      <c r="BR910" s="68"/>
      <c r="BS910" s="68"/>
      <c r="BT910" s="68"/>
      <c r="BU910" s="68"/>
      <c r="BV910" s="68"/>
      <c r="BW910" s="68"/>
      <c r="BX910" s="68"/>
      <c r="BY910" s="68"/>
      <c r="BZ910" s="68"/>
      <c r="CA910" s="68"/>
      <c r="CB910" s="68"/>
      <c r="CC910" s="68"/>
    </row>
    <row r="911" spans="1:81" ht="15.75" x14ac:dyDescent="0.25">
      <c r="A911" s="68"/>
      <c r="B911" s="68"/>
      <c r="C911" s="68"/>
      <c r="D911" s="69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  <c r="AI911" s="68"/>
      <c r="AJ911" s="68"/>
      <c r="AK911" s="68"/>
      <c r="AL911" s="68"/>
      <c r="AM911" s="68"/>
      <c r="AN911" s="68"/>
      <c r="AO911" s="68"/>
      <c r="AP911" s="68"/>
      <c r="AQ911" s="68"/>
      <c r="AR911" s="68"/>
      <c r="AS911" s="68"/>
      <c r="AT911" s="68"/>
      <c r="AU911" s="68"/>
      <c r="AV911" s="68"/>
      <c r="AW911" s="68"/>
      <c r="AX911" s="68"/>
      <c r="AY911" s="68"/>
      <c r="AZ911" s="68"/>
      <c r="BA911" s="68"/>
      <c r="BB911" s="68"/>
      <c r="BC911" s="68"/>
      <c r="BD911" s="68"/>
      <c r="BE911" s="68"/>
      <c r="BF911" s="68"/>
      <c r="BG911" s="68"/>
      <c r="BH911" s="68"/>
      <c r="BI911" s="68"/>
      <c r="BJ911" s="68"/>
      <c r="BK911" s="68"/>
      <c r="BL911" s="68"/>
      <c r="BM911" s="68"/>
      <c r="BN911" s="68"/>
      <c r="BO911" s="68"/>
      <c r="BP911" s="68"/>
      <c r="BQ911" s="68"/>
      <c r="BR911" s="68"/>
      <c r="BS911" s="68"/>
      <c r="BT911" s="68"/>
      <c r="BU911" s="68"/>
      <c r="BV911" s="68"/>
      <c r="BW911" s="68"/>
      <c r="BX911" s="68"/>
      <c r="BY911" s="68"/>
      <c r="BZ911" s="68"/>
      <c r="CA911" s="68"/>
      <c r="CB911" s="68"/>
      <c r="CC911" s="68"/>
    </row>
    <row r="912" spans="1:81" ht="15.75" x14ac:dyDescent="0.25">
      <c r="A912" s="68"/>
      <c r="B912" s="68"/>
      <c r="C912" s="68"/>
      <c r="D912" s="69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  <c r="AI912" s="68"/>
      <c r="AJ912" s="68"/>
      <c r="AK912" s="68"/>
      <c r="AL912" s="68"/>
      <c r="AM912" s="68"/>
      <c r="AN912" s="68"/>
      <c r="AO912" s="68"/>
      <c r="AP912" s="68"/>
      <c r="AQ912" s="68"/>
      <c r="AR912" s="68"/>
      <c r="AS912" s="68"/>
      <c r="AT912" s="68"/>
      <c r="AU912" s="68"/>
      <c r="AV912" s="68"/>
      <c r="AW912" s="68"/>
      <c r="AX912" s="68"/>
      <c r="AY912" s="68"/>
      <c r="AZ912" s="68"/>
      <c r="BA912" s="68"/>
      <c r="BB912" s="68"/>
      <c r="BC912" s="68"/>
      <c r="BD912" s="68"/>
      <c r="BE912" s="68"/>
      <c r="BF912" s="68"/>
      <c r="BG912" s="68"/>
      <c r="BH912" s="68"/>
      <c r="BI912" s="68"/>
      <c r="BJ912" s="68"/>
      <c r="BK912" s="68"/>
      <c r="BL912" s="68"/>
      <c r="BM912" s="68"/>
      <c r="BN912" s="68"/>
      <c r="BO912" s="68"/>
      <c r="BP912" s="68"/>
      <c r="BQ912" s="68"/>
      <c r="BR912" s="68"/>
      <c r="BS912" s="68"/>
      <c r="BT912" s="68"/>
      <c r="BU912" s="68"/>
      <c r="BV912" s="68"/>
      <c r="BW912" s="68"/>
      <c r="BX912" s="68"/>
      <c r="BY912" s="68"/>
      <c r="BZ912" s="68"/>
      <c r="CA912" s="68"/>
      <c r="CB912" s="68"/>
      <c r="CC912" s="68"/>
    </row>
    <row r="913" spans="1:81" ht="15.75" x14ac:dyDescent="0.25">
      <c r="A913" s="68"/>
      <c r="B913" s="68"/>
      <c r="C913" s="68"/>
      <c r="D913" s="69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  <c r="AI913" s="68"/>
      <c r="AJ913" s="68"/>
      <c r="AK913" s="68"/>
      <c r="AL913" s="68"/>
      <c r="AM913" s="68"/>
      <c r="AN913" s="68"/>
      <c r="AO913" s="68"/>
      <c r="AP913" s="68"/>
      <c r="AQ913" s="68"/>
      <c r="AR913" s="68"/>
      <c r="AS913" s="68"/>
      <c r="AT913" s="68"/>
      <c r="AU913" s="68"/>
      <c r="AV913" s="68"/>
      <c r="AW913" s="68"/>
      <c r="AX913" s="68"/>
      <c r="AY913" s="68"/>
      <c r="AZ913" s="68"/>
      <c r="BA913" s="68"/>
      <c r="BB913" s="68"/>
      <c r="BC913" s="68"/>
      <c r="BD913" s="68"/>
      <c r="BE913" s="68"/>
      <c r="BF913" s="68"/>
      <c r="BG913" s="68"/>
      <c r="BH913" s="68"/>
      <c r="BI913" s="68"/>
      <c r="BJ913" s="68"/>
      <c r="BK913" s="68"/>
      <c r="BL913" s="68"/>
      <c r="BM913" s="68"/>
      <c r="BN913" s="68"/>
      <c r="BO913" s="68"/>
      <c r="BP913" s="68"/>
      <c r="BQ913" s="68"/>
      <c r="BR913" s="68"/>
      <c r="BS913" s="68"/>
      <c r="BT913" s="68"/>
      <c r="BU913" s="68"/>
      <c r="BV913" s="68"/>
      <c r="BW913" s="68"/>
      <c r="BX913" s="68"/>
      <c r="BY913" s="68"/>
      <c r="BZ913" s="68"/>
      <c r="CA913" s="68"/>
      <c r="CB913" s="68"/>
      <c r="CC913" s="68"/>
    </row>
    <row r="914" spans="1:81" ht="15.75" x14ac:dyDescent="0.25">
      <c r="A914" s="68"/>
      <c r="B914" s="68"/>
      <c r="C914" s="68"/>
      <c r="D914" s="69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  <c r="AI914" s="68"/>
      <c r="AJ914" s="68"/>
      <c r="AK914" s="68"/>
      <c r="AL914" s="68"/>
      <c r="AM914" s="68"/>
      <c r="AN914" s="68"/>
      <c r="AO914" s="68"/>
      <c r="AP914" s="68"/>
      <c r="AQ914" s="68"/>
      <c r="AR914" s="68"/>
      <c r="AS914" s="68"/>
      <c r="AT914" s="68"/>
      <c r="AU914" s="68"/>
      <c r="AV914" s="68"/>
      <c r="AW914" s="68"/>
      <c r="AX914" s="68"/>
      <c r="AY914" s="68"/>
      <c r="AZ914" s="68"/>
      <c r="BA914" s="68"/>
      <c r="BB914" s="68"/>
      <c r="BC914" s="68"/>
      <c r="BD914" s="68"/>
      <c r="BE914" s="68"/>
      <c r="BF914" s="68"/>
      <c r="BG914" s="68"/>
      <c r="BH914" s="68"/>
      <c r="BI914" s="68"/>
      <c r="BJ914" s="68"/>
      <c r="BK914" s="68"/>
      <c r="BL914" s="68"/>
      <c r="BM914" s="68"/>
      <c r="BN914" s="68"/>
      <c r="BO914" s="68"/>
      <c r="BP914" s="68"/>
      <c r="BQ914" s="68"/>
      <c r="BR914" s="68"/>
      <c r="BS914" s="68"/>
      <c r="BT914" s="68"/>
      <c r="BU914" s="68"/>
      <c r="BV914" s="68"/>
      <c r="BW914" s="68"/>
      <c r="BX914" s="68"/>
      <c r="BY914" s="68"/>
      <c r="BZ914" s="68"/>
      <c r="CA914" s="68"/>
      <c r="CB914" s="68"/>
      <c r="CC914" s="68"/>
    </row>
    <row r="915" spans="1:81" ht="15.75" x14ac:dyDescent="0.25">
      <c r="A915" s="68"/>
      <c r="B915" s="68"/>
      <c r="C915" s="68"/>
      <c r="D915" s="69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  <c r="AI915" s="68"/>
      <c r="AJ915" s="68"/>
      <c r="AK915" s="68"/>
      <c r="AL915" s="68"/>
      <c r="AM915" s="68"/>
      <c r="AN915" s="68"/>
      <c r="AO915" s="68"/>
      <c r="AP915" s="68"/>
      <c r="AQ915" s="68"/>
      <c r="AR915" s="68"/>
      <c r="AS915" s="68"/>
      <c r="AT915" s="68"/>
      <c r="AU915" s="68"/>
      <c r="AV915" s="68"/>
      <c r="AW915" s="68"/>
      <c r="AX915" s="68"/>
      <c r="AY915" s="68"/>
      <c r="AZ915" s="68"/>
      <c r="BA915" s="68"/>
      <c r="BB915" s="68"/>
      <c r="BC915" s="68"/>
      <c r="BD915" s="68"/>
      <c r="BE915" s="68"/>
      <c r="BF915" s="68"/>
      <c r="BG915" s="68"/>
      <c r="BH915" s="68"/>
      <c r="BI915" s="68"/>
      <c r="BJ915" s="68"/>
      <c r="BK915" s="68"/>
      <c r="BL915" s="68"/>
      <c r="BM915" s="68"/>
      <c r="BN915" s="68"/>
      <c r="BO915" s="68"/>
      <c r="BP915" s="68"/>
      <c r="BQ915" s="68"/>
      <c r="BR915" s="68"/>
      <c r="BS915" s="68"/>
      <c r="BT915" s="68"/>
      <c r="BU915" s="68"/>
      <c r="BV915" s="68"/>
      <c r="BW915" s="68"/>
      <c r="BX915" s="68"/>
      <c r="BY915" s="68"/>
      <c r="BZ915" s="68"/>
      <c r="CA915" s="68"/>
      <c r="CB915" s="68"/>
      <c r="CC915" s="68"/>
    </row>
    <row r="916" spans="1:81" ht="15.75" x14ac:dyDescent="0.25">
      <c r="A916" s="68"/>
      <c r="B916" s="68"/>
      <c r="C916" s="68"/>
      <c r="D916" s="69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  <c r="AI916" s="68"/>
      <c r="AJ916" s="68"/>
      <c r="AK916" s="68"/>
      <c r="AL916" s="68"/>
      <c r="AM916" s="68"/>
      <c r="AN916" s="68"/>
      <c r="AO916" s="68"/>
      <c r="AP916" s="68"/>
      <c r="AQ916" s="68"/>
      <c r="AR916" s="68"/>
      <c r="AS916" s="68"/>
      <c r="AT916" s="68"/>
      <c r="AU916" s="68"/>
      <c r="AV916" s="68"/>
      <c r="AW916" s="68"/>
      <c r="AX916" s="68"/>
      <c r="AY916" s="68"/>
      <c r="AZ916" s="68"/>
      <c r="BA916" s="68"/>
      <c r="BB916" s="68"/>
      <c r="BC916" s="68"/>
      <c r="BD916" s="68"/>
      <c r="BE916" s="68"/>
      <c r="BF916" s="68"/>
      <c r="BG916" s="68"/>
      <c r="BH916" s="68"/>
      <c r="BI916" s="68"/>
      <c r="BJ916" s="68"/>
      <c r="BK916" s="68"/>
      <c r="BL916" s="68"/>
      <c r="BM916" s="68"/>
      <c r="BN916" s="68"/>
      <c r="BO916" s="68"/>
      <c r="BP916" s="68"/>
      <c r="BQ916" s="68"/>
      <c r="BR916" s="68"/>
      <c r="BS916" s="68"/>
      <c r="BT916" s="68"/>
      <c r="BU916" s="68"/>
      <c r="BV916" s="68"/>
      <c r="BW916" s="68"/>
      <c r="BX916" s="68"/>
      <c r="BY916" s="68"/>
      <c r="BZ916" s="68"/>
      <c r="CA916" s="68"/>
      <c r="CB916" s="68"/>
      <c r="CC916" s="68"/>
    </row>
    <row r="917" spans="1:81" ht="15.75" x14ac:dyDescent="0.25">
      <c r="A917" s="68"/>
      <c r="B917" s="68"/>
      <c r="C917" s="68"/>
      <c r="D917" s="69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  <c r="AI917" s="68"/>
      <c r="AJ917" s="68"/>
      <c r="AK917" s="68"/>
      <c r="AL917" s="68"/>
      <c r="AM917" s="68"/>
      <c r="AN917" s="68"/>
      <c r="AO917" s="68"/>
      <c r="AP917" s="68"/>
      <c r="AQ917" s="68"/>
      <c r="AR917" s="68"/>
      <c r="AS917" s="68"/>
      <c r="AT917" s="68"/>
      <c r="AU917" s="68"/>
      <c r="AV917" s="68"/>
      <c r="AW917" s="68"/>
      <c r="AX917" s="68"/>
      <c r="AY917" s="68"/>
      <c r="AZ917" s="68"/>
      <c r="BA917" s="68"/>
      <c r="BB917" s="68"/>
      <c r="BC917" s="68"/>
      <c r="BD917" s="68"/>
      <c r="BE917" s="68"/>
      <c r="BF917" s="68"/>
      <c r="BG917" s="68"/>
      <c r="BH917" s="68"/>
      <c r="BI917" s="68"/>
      <c r="BJ917" s="68"/>
      <c r="BK917" s="68"/>
      <c r="BL917" s="68"/>
      <c r="BM917" s="68"/>
      <c r="BN917" s="68"/>
      <c r="BO917" s="68"/>
      <c r="BP917" s="68"/>
      <c r="BQ917" s="68"/>
      <c r="BR917" s="68"/>
      <c r="BS917" s="68"/>
      <c r="BT917" s="68"/>
      <c r="BU917" s="68"/>
      <c r="BV917" s="68"/>
      <c r="BW917" s="68"/>
      <c r="BX917" s="68"/>
      <c r="BY917" s="68"/>
      <c r="BZ917" s="68"/>
      <c r="CA917" s="68"/>
      <c r="CB917" s="68"/>
      <c r="CC917" s="68"/>
    </row>
    <row r="918" spans="1:81" ht="15.75" x14ac:dyDescent="0.25">
      <c r="A918" s="68"/>
      <c r="B918" s="68"/>
      <c r="C918" s="68"/>
      <c r="D918" s="69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  <c r="AI918" s="68"/>
      <c r="AJ918" s="68"/>
      <c r="AK918" s="68"/>
      <c r="AL918" s="68"/>
      <c r="AM918" s="68"/>
      <c r="AN918" s="68"/>
      <c r="AO918" s="68"/>
      <c r="AP918" s="68"/>
      <c r="AQ918" s="68"/>
      <c r="AR918" s="68"/>
      <c r="AS918" s="68"/>
      <c r="AT918" s="68"/>
      <c r="AU918" s="68"/>
      <c r="AV918" s="68"/>
      <c r="AW918" s="68"/>
      <c r="AX918" s="68"/>
      <c r="AY918" s="68"/>
      <c r="AZ918" s="68"/>
      <c r="BA918" s="68"/>
      <c r="BB918" s="68"/>
      <c r="BC918" s="68"/>
      <c r="BD918" s="68"/>
      <c r="BE918" s="68"/>
      <c r="BF918" s="68"/>
      <c r="BG918" s="68"/>
      <c r="BH918" s="68"/>
      <c r="BI918" s="68"/>
      <c r="BJ918" s="68"/>
      <c r="BK918" s="68"/>
      <c r="BL918" s="68"/>
      <c r="BM918" s="68"/>
      <c r="BN918" s="68"/>
      <c r="BO918" s="68"/>
      <c r="BP918" s="68"/>
      <c r="BQ918" s="68"/>
      <c r="BR918" s="68"/>
      <c r="BS918" s="68"/>
      <c r="BT918" s="68"/>
      <c r="BU918" s="68"/>
      <c r="BV918" s="68"/>
      <c r="BW918" s="68"/>
      <c r="BX918" s="68"/>
      <c r="BY918" s="68"/>
      <c r="BZ918" s="68"/>
      <c r="CA918" s="68"/>
      <c r="CB918" s="68"/>
      <c r="CC918" s="68"/>
    </row>
    <row r="919" spans="1:81" ht="15.75" x14ac:dyDescent="0.25">
      <c r="A919" s="68"/>
      <c r="B919" s="68"/>
      <c r="C919" s="68"/>
      <c r="D919" s="69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  <c r="AI919" s="68"/>
      <c r="AJ919" s="68"/>
      <c r="AK919" s="68"/>
      <c r="AL919" s="68"/>
      <c r="AM919" s="68"/>
      <c r="AN919" s="68"/>
      <c r="AO919" s="68"/>
      <c r="AP919" s="68"/>
      <c r="AQ919" s="68"/>
      <c r="AR919" s="68"/>
      <c r="AS919" s="68"/>
      <c r="AT919" s="68"/>
      <c r="AU919" s="68"/>
      <c r="AV919" s="68"/>
      <c r="AW919" s="68"/>
      <c r="AX919" s="68"/>
      <c r="AY919" s="68"/>
      <c r="AZ919" s="68"/>
      <c r="BA919" s="68"/>
      <c r="BB919" s="68"/>
      <c r="BC919" s="68"/>
      <c r="BD919" s="68"/>
      <c r="BE919" s="68"/>
      <c r="BF919" s="68"/>
      <c r="BG919" s="68"/>
      <c r="BH919" s="68"/>
      <c r="BI919" s="68"/>
      <c r="BJ919" s="68"/>
      <c r="BK919" s="68"/>
      <c r="BL919" s="68"/>
      <c r="BM919" s="68"/>
      <c r="BN919" s="68"/>
      <c r="BO919" s="68"/>
      <c r="BP919" s="68"/>
      <c r="BQ919" s="68"/>
      <c r="BR919" s="68"/>
      <c r="BS919" s="68"/>
      <c r="BT919" s="68"/>
      <c r="BU919" s="68"/>
      <c r="BV919" s="68"/>
      <c r="BW919" s="68"/>
      <c r="BX919" s="68"/>
      <c r="BY919" s="68"/>
      <c r="BZ919" s="68"/>
      <c r="CA919" s="68"/>
      <c r="CB919" s="68"/>
      <c r="CC919" s="68"/>
    </row>
    <row r="920" spans="1:81" ht="15.75" x14ac:dyDescent="0.25">
      <c r="A920" s="68"/>
      <c r="B920" s="68"/>
      <c r="C920" s="68"/>
      <c r="D920" s="69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/>
      <c r="AE920" s="68"/>
      <c r="AF920" s="68"/>
      <c r="AG920" s="68"/>
      <c r="AH920" s="68"/>
      <c r="AI920" s="68"/>
      <c r="AJ920" s="68"/>
      <c r="AK920" s="68"/>
      <c r="AL920" s="68"/>
      <c r="AM920" s="68"/>
      <c r="AN920" s="68"/>
      <c r="AO920" s="68"/>
      <c r="AP920" s="68"/>
      <c r="AQ920" s="68"/>
      <c r="AR920" s="68"/>
      <c r="AS920" s="68"/>
      <c r="AT920" s="68"/>
      <c r="AU920" s="68"/>
      <c r="AV920" s="68"/>
      <c r="AW920" s="68"/>
      <c r="AX920" s="68"/>
      <c r="AY920" s="68"/>
      <c r="AZ920" s="68"/>
      <c r="BA920" s="68"/>
      <c r="BB920" s="68"/>
      <c r="BC920" s="68"/>
      <c r="BD920" s="68"/>
      <c r="BE920" s="68"/>
      <c r="BF920" s="68"/>
      <c r="BG920" s="68"/>
      <c r="BH920" s="68"/>
      <c r="BI920" s="68"/>
      <c r="BJ920" s="68"/>
      <c r="BK920" s="68"/>
      <c r="BL920" s="68"/>
      <c r="BM920" s="68"/>
      <c r="BN920" s="68"/>
      <c r="BO920" s="68"/>
      <c r="BP920" s="68"/>
      <c r="BQ920" s="68"/>
      <c r="BR920" s="68"/>
      <c r="BS920" s="68"/>
      <c r="BT920" s="68"/>
      <c r="BU920" s="68"/>
      <c r="BV920" s="68"/>
      <c r="BW920" s="68"/>
      <c r="BX920" s="68"/>
      <c r="BY920" s="68"/>
      <c r="BZ920" s="68"/>
      <c r="CA920" s="68"/>
      <c r="CB920" s="68"/>
      <c r="CC920" s="68"/>
    </row>
    <row r="921" spans="1:81" ht="15.75" x14ac:dyDescent="0.25">
      <c r="A921" s="68"/>
      <c r="B921" s="68"/>
      <c r="C921" s="68"/>
      <c r="D921" s="69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  <c r="AI921" s="68"/>
      <c r="AJ921" s="68"/>
      <c r="AK921" s="68"/>
      <c r="AL921" s="68"/>
      <c r="AM921" s="68"/>
      <c r="AN921" s="68"/>
      <c r="AO921" s="68"/>
      <c r="AP921" s="68"/>
      <c r="AQ921" s="68"/>
      <c r="AR921" s="68"/>
      <c r="AS921" s="68"/>
      <c r="AT921" s="68"/>
      <c r="AU921" s="68"/>
      <c r="AV921" s="68"/>
      <c r="AW921" s="68"/>
      <c r="AX921" s="68"/>
      <c r="AY921" s="68"/>
      <c r="AZ921" s="68"/>
      <c r="BA921" s="68"/>
      <c r="BB921" s="68"/>
      <c r="BC921" s="68"/>
      <c r="BD921" s="68"/>
      <c r="BE921" s="68"/>
      <c r="BF921" s="68"/>
      <c r="BG921" s="68"/>
      <c r="BH921" s="68"/>
      <c r="BI921" s="68"/>
      <c r="BJ921" s="68"/>
      <c r="BK921" s="68"/>
      <c r="BL921" s="68"/>
      <c r="BM921" s="68"/>
      <c r="BN921" s="68"/>
      <c r="BO921" s="68"/>
      <c r="BP921" s="68"/>
      <c r="BQ921" s="68"/>
      <c r="BR921" s="68"/>
      <c r="BS921" s="68"/>
      <c r="BT921" s="68"/>
      <c r="BU921" s="68"/>
      <c r="BV921" s="68"/>
      <c r="BW921" s="68"/>
      <c r="BX921" s="68"/>
      <c r="BY921" s="68"/>
      <c r="BZ921" s="68"/>
      <c r="CA921" s="68"/>
      <c r="CB921" s="68"/>
      <c r="CC921" s="68"/>
    </row>
    <row r="922" spans="1:81" ht="15.75" x14ac:dyDescent="0.25">
      <c r="A922" s="68"/>
      <c r="B922" s="68"/>
      <c r="C922" s="68"/>
      <c r="D922" s="69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  <c r="AI922" s="68"/>
      <c r="AJ922" s="68"/>
      <c r="AK922" s="68"/>
      <c r="AL922" s="68"/>
      <c r="AM922" s="68"/>
      <c r="AN922" s="68"/>
      <c r="AO922" s="68"/>
      <c r="AP922" s="68"/>
      <c r="AQ922" s="68"/>
      <c r="AR922" s="68"/>
      <c r="AS922" s="68"/>
      <c r="AT922" s="68"/>
      <c r="AU922" s="68"/>
      <c r="AV922" s="68"/>
      <c r="AW922" s="68"/>
      <c r="AX922" s="68"/>
      <c r="AY922" s="68"/>
      <c r="AZ922" s="68"/>
      <c r="BA922" s="68"/>
      <c r="BB922" s="68"/>
      <c r="BC922" s="68"/>
      <c r="BD922" s="68"/>
      <c r="BE922" s="68"/>
      <c r="BF922" s="68"/>
      <c r="BG922" s="68"/>
      <c r="BH922" s="68"/>
      <c r="BI922" s="68"/>
      <c r="BJ922" s="68"/>
      <c r="BK922" s="68"/>
      <c r="BL922" s="68"/>
      <c r="BM922" s="68"/>
      <c r="BN922" s="68"/>
      <c r="BO922" s="68"/>
      <c r="BP922" s="68"/>
      <c r="BQ922" s="68"/>
      <c r="BR922" s="68"/>
      <c r="BS922" s="68"/>
      <c r="BT922" s="68"/>
      <c r="BU922" s="68"/>
      <c r="BV922" s="68"/>
      <c r="BW922" s="68"/>
      <c r="BX922" s="68"/>
      <c r="BY922" s="68"/>
      <c r="BZ922" s="68"/>
      <c r="CA922" s="68"/>
      <c r="CB922" s="68"/>
      <c r="CC922" s="68"/>
    </row>
    <row r="923" spans="1:81" ht="15.75" x14ac:dyDescent="0.25">
      <c r="A923" s="68"/>
      <c r="B923" s="68"/>
      <c r="C923" s="68"/>
      <c r="D923" s="69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  <c r="AI923" s="68"/>
      <c r="AJ923" s="68"/>
      <c r="AK923" s="68"/>
      <c r="AL923" s="68"/>
      <c r="AM923" s="68"/>
      <c r="AN923" s="68"/>
      <c r="AO923" s="68"/>
      <c r="AP923" s="68"/>
      <c r="AQ923" s="68"/>
      <c r="AR923" s="68"/>
      <c r="AS923" s="68"/>
      <c r="AT923" s="68"/>
      <c r="AU923" s="68"/>
      <c r="AV923" s="68"/>
      <c r="AW923" s="68"/>
      <c r="AX923" s="68"/>
      <c r="AY923" s="68"/>
      <c r="AZ923" s="68"/>
      <c r="BA923" s="68"/>
      <c r="BB923" s="68"/>
      <c r="BC923" s="68"/>
      <c r="BD923" s="68"/>
      <c r="BE923" s="68"/>
      <c r="BF923" s="68"/>
      <c r="BG923" s="68"/>
      <c r="BH923" s="68"/>
      <c r="BI923" s="68"/>
      <c r="BJ923" s="68"/>
      <c r="BK923" s="68"/>
      <c r="BL923" s="68"/>
      <c r="BM923" s="68"/>
      <c r="BN923" s="68"/>
      <c r="BO923" s="68"/>
      <c r="BP923" s="68"/>
      <c r="BQ923" s="68"/>
      <c r="BR923" s="68"/>
      <c r="BS923" s="68"/>
      <c r="BT923" s="68"/>
      <c r="BU923" s="68"/>
      <c r="BV923" s="68"/>
      <c r="BW923" s="68"/>
      <c r="BX923" s="68"/>
      <c r="BY923" s="68"/>
      <c r="BZ923" s="68"/>
      <c r="CA923" s="68"/>
      <c r="CB923" s="68"/>
      <c r="CC923" s="68"/>
    </row>
    <row r="924" spans="1:81" ht="15.75" x14ac:dyDescent="0.25">
      <c r="A924" s="68"/>
      <c r="B924" s="68"/>
      <c r="C924" s="68"/>
      <c r="D924" s="69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  <c r="AI924" s="68"/>
      <c r="AJ924" s="68"/>
      <c r="AK924" s="68"/>
      <c r="AL924" s="68"/>
      <c r="AM924" s="68"/>
      <c r="AN924" s="68"/>
      <c r="AO924" s="68"/>
      <c r="AP924" s="68"/>
      <c r="AQ924" s="68"/>
      <c r="AR924" s="68"/>
      <c r="AS924" s="68"/>
      <c r="AT924" s="68"/>
      <c r="AU924" s="68"/>
      <c r="AV924" s="68"/>
      <c r="AW924" s="68"/>
      <c r="AX924" s="68"/>
      <c r="AY924" s="68"/>
      <c r="AZ924" s="68"/>
      <c r="BA924" s="68"/>
      <c r="BB924" s="68"/>
      <c r="BC924" s="68"/>
      <c r="BD924" s="68"/>
      <c r="BE924" s="68"/>
      <c r="BF924" s="68"/>
      <c r="BG924" s="68"/>
      <c r="BH924" s="68"/>
      <c r="BI924" s="68"/>
      <c r="BJ924" s="68"/>
      <c r="BK924" s="68"/>
      <c r="BL924" s="68"/>
      <c r="BM924" s="68"/>
      <c r="BN924" s="68"/>
      <c r="BO924" s="68"/>
      <c r="BP924" s="68"/>
      <c r="BQ924" s="68"/>
      <c r="BR924" s="68"/>
      <c r="BS924" s="68"/>
      <c r="BT924" s="68"/>
      <c r="BU924" s="68"/>
      <c r="BV924" s="68"/>
      <c r="BW924" s="68"/>
      <c r="BX924" s="68"/>
      <c r="BY924" s="68"/>
      <c r="BZ924" s="68"/>
      <c r="CA924" s="68"/>
      <c r="CB924" s="68"/>
      <c r="CC924" s="68"/>
    </row>
    <row r="925" spans="1:81" ht="15.75" x14ac:dyDescent="0.25">
      <c r="A925" s="68"/>
      <c r="B925" s="68"/>
      <c r="C925" s="68"/>
      <c r="D925" s="69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  <c r="AI925" s="68"/>
      <c r="AJ925" s="68"/>
      <c r="AK925" s="68"/>
      <c r="AL925" s="68"/>
      <c r="AM925" s="68"/>
      <c r="AN925" s="68"/>
      <c r="AO925" s="68"/>
      <c r="AP925" s="68"/>
      <c r="AQ925" s="68"/>
      <c r="AR925" s="68"/>
      <c r="AS925" s="68"/>
      <c r="AT925" s="68"/>
      <c r="AU925" s="68"/>
      <c r="AV925" s="68"/>
      <c r="AW925" s="68"/>
      <c r="AX925" s="68"/>
      <c r="AY925" s="68"/>
      <c r="AZ925" s="68"/>
      <c r="BA925" s="68"/>
      <c r="BB925" s="68"/>
      <c r="BC925" s="68"/>
      <c r="BD925" s="68"/>
      <c r="BE925" s="68"/>
      <c r="BF925" s="68"/>
      <c r="BG925" s="68"/>
      <c r="BH925" s="68"/>
      <c r="BI925" s="68"/>
      <c r="BJ925" s="68"/>
      <c r="BK925" s="68"/>
      <c r="BL925" s="68"/>
      <c r="BM925" s="68"/>
      <c r="BN925" s="68"/>
      <c r="BO925" s="68"/>
      <c r="BP925" s="68"/>
      <c r="BQ925" s="68"/>
      <c r="BR925" s="68"/>
      <c r="BS925" s="68"/>
      <c r="BT925" s="68"/>
      <c r="BU925" s="68"/>
      <c r="BV925" s="68"/>
      <c r="BW925" s="68"/>
      <c r="BX925" s="68"/>
      <c r="BY925" s="68"/>
      <c r="BZ925" s="68"/>
      <c r="CA925" s="68"/>
      <c r="CB925" s="68"/>
      <c r="CC925" s="68"/>
    </row>
    <row r="926" spans="1:81" ht="15.75" x14ac:dyDescent="0.25">
      <c r="A926" s="68"/>
      <c r="B926" s="68"/>
      <c r="C926" s="68"/>
      <c r="D926" s="69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  <c r="AI926" s="68"/>
      <c r="AJ926" s="68"/>
      <c r="AK926" s="68"/>
      <c r="AL926" s="68"/>
      <c r="AM926" s="68"/>
      <c r="AN926" s="68"/>
      <c r="AO926" s="68"/>
      <c r="AP926" s="68"/>
      <c r="AQ926" s="68"/>
      <c r="AR926" s="68"/>
      <c r="AS926" s="68"/>
      <c r="AT926" s="68"/>
      <c r="AU926" s="68"/>
      <c r="AV926" s="68"/>
      <c r="AW926" s="68"/>
      <c r="AX926" s="68"/>
      <c r="AY926" s="68"/>
      <c r="AZ926" s="68"/>
      <c r="BA926" s="68"/>
      <c r="BB926" s="68"/>
      <c r="BC926" s="68"/>
      <c r="BD926" s="68"/>
      <c r="BE926" s="68"/>
      <c r="BF926" s="68"/>
      <c r="BG926" s="68"/>
      <c r="BH926" s="68"/>
      <c r="BI926" s="68"/>
      <c r="BJ926" s="68"/>
      <c r="BK926" s="68"/>
      <c r="BL926" s="68"/>
      <c r="BM926" s="68"/>
      <c r="BN926" s="68"/>
      <c r="BO926" s="68"/>
      <c r="BP926" s="68"/>
      <c r="BQ926" s="68"/>
      <c r="BR926" s="68"/>
      <c r="BS926" s="68"/>
      <c r="BT926" s="68"/>
      <c r="BU926" s="68"/>
      <c r="BV926" s="68"/>
      <c r="BW926" s="68"/>
      <c r="BX926" s="68"/>
      <c r="BY926" s="68"/>
      <c r="BZ926" s="68"/>
      <c r="CA926" s="68"/>
      <c r="CB926" s="68"/>
      <c r="CC926" s="68"/>
    </row>
    <row r="927" spans="1:81" ht="15.75" x14ac:dyDescent="0.25">
      <c r="A927" s="68"/>
      <c r="B927" s="68"/>
      <c r="C927" s="68"/>
      <c r="D927" s="69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  <c r="AI927" s="68"/>
      <c r="AJ927" s="68"/>
      <c r="AK927" s="68"/>
      <c r="AL927" s="68"/>
      <c r="AM927" s="68"/>
      <c r="AN927" s="68"/>
      <c r="AO927" s="68"/>
      <c r="AP927" s="68"/>
      <c r="AQ927" s="68"/>
      <c r="AR927" s="68"/>
      <c r="AS927" s="68"/>
      <c r="AT927" s="68"/>
      <c r="AU927" s="68"/>
      <c r="AV927" s="68"/>
      <c r="AW927" s="68"/>
      <c r="AX927" s="68"/>
      <c r="AY927" s="68"/>
      <c r="AZ927" s="68"/>
      <c r="BA927" s="68"/>
      <c r="BB927" s="68"/>
      <c r="BC927" s="68"/>
      <c r="BD927" s="68"/>
      <c r="BE927" s="68"/>
      <c r="BF927" s="68"/>
      <c r="BG927" s="68"/>
      <c r="BH927" s="68"/>
      <c r="BI927" s="68"/>
      <c r="BJ927" s="68"/>
      <c r="BK927" s="68"/>
      <c r="BL927" s="68"/>
      <c r="BM927" s="68"/>
      <c r="BN927" s="68"/>
      <c r="BO927" s="68"/>
      <c r="BP927" s="68"/>
      <c r="BQ927" s="68"/>
      <c r="BR927" s="68"/>
      <c r="BS927" s="68"/>
      <c r="BT927" s="68"/>
      <c r="BU927" s="68"/>
      <c r="BV927" s="68"/>
      <c r="BW927" s="68"/>
      <c r="BX927" s="68"/>
      <c r="BY927" s="68"/>
      <c r="BZ927" s="68"/>
      <c r="CA927" s="68"/>
      <c r="CB927" s="68"/>
      <c r="CC927" s="68"/>
    </row>
    <row r="928" spans="1:81" ht="15.75" x14ac:dyDescent="0.25">
      <c r="A928" s="68"/>
      <c r="B928" s="68"/>
      <c r="C928" s="68"/>
      <c r="D928" s="69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  <c r="AI928" s="68"/>
      <c r="AJ928" s="68"/>
      <c r="AK928" s="68"/>
      <c r="AL928" s="68"/>
      <c r="AM928" s="68"/>
      <c r="AN928" s="68"/>
      <c r="AO928" s="68"/>
      <c r="AP928" s="68"/>
      <c r="AQ928" s="68"/>
      <c r="AR928" s="68"/>
      <c r="AS928" s="68"/>
      <c r="AT928" s="68"/>
      <c r="AU928" s="68"/>
      <c r="AV928" s="68"/>
      <c r="AW928" s="68"/>
      <c r="AX928" s="68"/>
      <c r="AY928" s="68"/>
      <c r="AZ928" s="68"/>
      <c r="BA928" s="68"/>
      <c r="BB928" s="68"/>
      <c r="BC928" s="68"/>
      <c r="BD928" s="68"/>
      <c r="BE928" s="68"/>
      <c r="BF928" s="68"/>
      <c r="BG928" s="68"/>
      <c r="BH928" s="68"/>
      <c r="BI928" s="68"/>
      <c r="BJ928" s="68"/>
      <c r="BK928" s="68"/>
      <c r="BL928" s="68"/>
      <c r="BM928" s="68"/>
      <c r="BN928" s="68"/>
      <c r="BO928" s="68"/>
      <c r="BP928" s="68"/>
      <c r="BQ928" s="68"/>
      <c r="BR928" s="68"/>
      <c r="BS928" s="68"/>
      <c r="BT928" s="68"/>
      <c r="BU928" s="68"/>
      <c r="BV928" s="68"/>
      <c r="BW928" s="68"/>
      <c r="BX928" s="68"/>
      <c r="BY928" s="68"/>
      <c r="BZ928" s="68"/>
      <c r="CA928" s="68"/>
      <c r="CB928" s="68"/>
      <c r="CC928" s="68"/>
    </row>
    <row r="929" spans="1:81" ht="15.75" x14ac:dyDescent="0.25">
      <c r="A929" s="68"/>
      <c r="B929" s="68"/>
      <c r="C929" s="68"/>
      <c r="D929" s="69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  <c r="AI929" s="68"/>
      <c r="AJ929" s="68"/>
      <c r="AK929" s="68"/>
      <c r="AL929" s="68"/>
      <c r="AM929" s="68"/>
      <c r="AN929" s="68"/>
      <c r="AO929" s="68"/>
      <c r="AP929" s="68"/>
      <c r="AQ929" s="68"/>
      <c r="AR929" s="68"/>
      <c r="AS929" s="68"/>
      <c r="AT929" s="68"/>
      <c r="AU929" s="68"/>
      <c r="AV929" s="68"/>
      <c r="AW929" s="68"/>
      <c r="AX929" s="68"/>
      <c r="AY929" s="68"/>
      <c r="AZ929" s="68"/>
      <c r="BA929" s="68"/>
      <c r="BB929" s="68"/>
      <c r="BC929" s="68"/>
      <c r="BD929" s="68"/>
      <c r="BE929" s="68"/>
      <c r="BF929" s="68"/>
      <c r="BG929" s="68"/>
      <c r="BH929" s="68"/>
      <c r="BI929" s="68"/>
      <c r="BJ929" s="68"/>
      <c r="BK929" s="68"/>
      <c r="BL929" s="68"/>
      <c r="BM929" s="68"/>
      <c r="BN929" s="68"/>
      <c r="BO929" s="68"/>
      <c r="BP929" s="68"/>
      <c r="BQ929" s="68"/>
      <c r="BR929" s="68"/>
      <c r="BS929" s="68"/>
      <c r="BT929" s="68"/>
      <c r="BU929" s="68"/>
      <c r="BV929" s="68"/>
      <c r="BW929" s="68"/>
      <c r="BX929" s="68"/>
      <c r="BY929" s="68"/>
      <c r="BZ929" s="68"/>
      <c r="CA929" s="68"/>
      <c r="CB929" s="68"/>
      <c r="CC929" s="68"/>
    </row>
    <row r="930" spans="1:81" ht="15.75" x14ac:dyDescent="0.25">
      <c r="A930" s="68"/>
      <c r="B930" s="68"/>
      <c r="C930" s="68"/>
      <c r="D930" s="69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  <c r="AI930" s="68"/>
      <c r="AJ930" s="68"/>
      <c r="AK930" s="68"/>
      <c r="AL930" s="68"/>
      <c r="AM930" s="68"/>
      <c r="AN930" s="68"/>
      <c r="AO930" s="68"/>
      <c r="AP930" s="68"/>
      <c r="AQ930" s="68"/>
      <c r="AR930" s="68"/>
      <c r="AS930" s="68"/>
      <c r="AT930" s="68"/>
      <c r="AU930" s="68"/>
      <c r="AV930" s="68"/>
      <c r="AW930" s="68"/>
      <c r="AX930" s="68"/>
      <c r="AY930" s="68"/>
      <c r="AZ930" s="68"/>
      <c r="BA930" s="68"/>
      <c r="BB930" s="68"/>
      <c r="BC930" s="68"/>
      <c r="BD930" s="68"/>
      <c r="BE930" s="68"/>
      <c r="BF930" s="68"/>
      <c r="BG930" s="68"/>
      <c r="BH930" s="68"/>
      <c r="BI930" s="68"/>
      <c r="BJ930" s="68"/>
      <c r="BK930" s="68"/>
      <c r="BL930" s="68"/>
      <c r="BM930" s="68"/>
      <c r="BN930" s="68"/>
      <c r="BO930" s="68"/>
      <c r="BP930" s="68"/>
      <c r="BQ930" s="68"/>
      <c r="BR930" s="68"/>
      <c r="BS930" s="68"/>
      <c r="BT930" s="68"/>
      <c r="BU930" s="68"/>
      <c r="BV930" s="68"/>
      <c r="BW930" s="68"/>
      <c r="BX930" s="68"/>
      <c r="BY930" s="68"/>
      <c r="BZ930" s="68"/>
      <c r="CA930" s="68"/>
      <c r="CB930" s="68"/>
      <c r="CC930" s="68"/>
    </row>
    <row r="931" spans="1:81" ht="15.75" x14ac:dyDescent="0.25">
      <c r="A931" s="68"/>
      <c r="B931" s="68"/>
      <c r="C931" s="68"/>
      <c r="D931" s="69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  <c r="AI931" s="68"/>
      <c r="AJ931" s="68"/>
      <c r="AK931" s="68"/>
      <c r="AL931" s="68"/>
      <c r="AM931" s="68"/>
      <c r="AN931" s="68"/>
      <c r="AO931" s="68"/>
      <c r="AP931" s="68"/>
      <c r="AQ931" s="68"/>
      <c r="AR931" s="68"/>
      <c r="AS931" s="68"/>
      <c r="AT931" s="68"/>
      <c r="AU931" s="68"/>
      <c r="AV931" s="68"/>
      <c r="AW931" s="68"/>
      <c r="AX931" s="68"/>
      <c r="AY931" s="68"/>
      <c r="AZ931" s="68"/>
      <c r="BA931" s="68"/>
      <c r="BB931" s="68"/>
      <c r="BC931" s="68"/>
      <c r="BD931" s="68"/>
      <c r="BE931" s="68"/>
      <c r="BF931" s="68"/>
      <c r="BG931" s="68"/>
      <c r="BH931" s="68"/>
      <c r="BI931" s="68"/>
      <c r="BJ931" s="68"/>
      <c r="BK931" s="68"/>
      <c r="BL931" s="68"/>
      <c r="BM931" s="68"/>
      <c r="BN931" s="68"/>
      <c r="BO931" s="68"/>
      <c r="BP931" s="68"/>
      <c r="BQ931" s="68"/>
      <c r="BR931" s="68"/>
      <c r="BS931" s="68"/>
      <c r="BT931" s="68"/>
      <c r="BU931" s="68"/>
      <c r="BV931" s="68"/>
      <c r="BW931" s="68"/>
      <c r="BX931" s="68"/>
      <c r="BY931" s="68"/>
      <c r="BZ931" s="68"/>
      <c r="CA931" s="68"/>
      <c r="CB931" s="68"/>
      <c r="CC931" s="68"/>
    </row>
    <row r="932" spans="1:81" ht="15.75" x14ac:dyDescent="0.25">
      <c r="A932" s="68"/>
      <c r="B932" s="68"/>
      <c r="C932" s="68"/>
      <c r="D932" s="69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/>
      <c r="AE932" s="68"/>
      <c r="AF932" s="68"/>
      <c r="AG932" s="68"/>
      <c r="AH932" s="68"/>
      <c r="AI932" s="68"/>
      <c r="AJ932" s="68"/>
      <c r="AK932" s="68"/>
      <c r="AL932" s="68"/>
      <c r="AM932" s="68"/>
      <c r="AN932" s="68"/>
      <c r="AO932" s="68"/>
      <c r="AP932" s="68"/>
      <c r="AQ932" s="68"/>
      <c r="AR932" s="68"/>
      <c r="AS932" s="68"/>
      <c r="AT932" s="68"/>
      <c r="AU932" s="68"/>
      <c r="AV932" s="68"/>
      <c r="AW932" s="68"/>
      <c r="AX932" s="68"/>
      <c r="AY932" s="68"/>
      <c r="AZ932" s="68"/>
      <c r="BA932" s="68"/>
      <c r="BB932" s="68"/>
      <c r="BC932" s="68"/>
      <c r="BD932" s="68"/>
      <c r="BE932" s="68"/>
      <c r="BF932" s="68"/>
      <c r="BG932" s="68"/>
      <c r="BH932" s="68"/>
      <c r="BI932" s="68"/>
      <c r="BJ932" s="68"/>
      <c r="BK932" s="68"/>
      <c r="BL932" s="68"/>
      <c r="BM932" s="68"/>
      <c r="BN932" s="68"/>
      <c r="BO932" s="68"/>
      <c r="BP932" s="68"/>
      <c r="BQ932" s="68"/>
      <c r="BR932" s="68"/>
      <c r="BS932" s="68"/>
      <c r="BT932" s="68"/>
      <c r="BU932" s="68"/>
      <c r="BV932" s="68"/>
      <c r="BW932" s="68"/>
      <c r="BX932" s="68"/>
      <c r="BY932" s="68"/>
      <c r="BZ932" s="68"/>
      <c r="CA932" s="68"/>
      <c r="CB932" s="68"/>
      <c r="CC932" s="68"/>
    </row>
    <row r="933" spans="1:81" ht="15.75" x14ac:dyDescent="0.25">
      <c r="A933" s="68"/>
      <c r="B933" s="68"/>
      <c r="C933" s="68"/>
      <c r="D933" s="69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  <c r="AI933" s="68"/>
      <c r="AJ933" s="68"/>
      <c r="AK933" s="68"/>
      <c r="AL933" s="68"/>
      <c r="AM933" s="68"/>
      <c r="AN933" s="68"/>
      <c r="AO933" s="68"/>
      <c r="AP933" s="68"/>
      <c r="AQ933" s="68"/>
      <c r="AR933" s="68"/>
      <c r="AS933" s="68"/>
      <c r="AT933" s="68"/>
      <c r="AU933" s="68"/>
      <c r="AV933" s="68"/>
      <c r="AW933" s="68"/>
      <c r="AX933" s="68"/>
      <c r="AY933" s="68"/>
      <c r="AZ933" s="68"/>
      <c r="BA933" s="68"/>
      <c r="BB933" s="68"/>
      <c r="BC933" s="68"/>
      <c r="BD933" s="68"/>
      <c r="BE933" s="68"/>
      <c r="BF933" s="68"/>
      <c r="BG933" s="68"/>
      <c r="BH933" s="68"/>
      <c r="BI933" s="68"/>
      <c r="BJ933" s="68"/>
      <c r="BK933" s="68"/>
      <c r="BL933" s="68"/>
      <c r="BM933" s="68"/>
      <c r="BN933" s="68"/>
      <c r="BO933" s="68"/>
      <c r="BP933" s="68"/>
      <c r="BQ933" s="68"/>
      <c r="BR933" s="68"/>
      <c r="BS933" s="68"/>
      <c r="BT933" s="68"/>
      <c r="BU933" s="68"/>
      <c r="BV933" s="68"/>
      <c r="BW933" s="68"/>
      <c r="BX933" s="68"/>
      <c r="BY933" s="68"/>
      <c r="BZ933" s="68"/>
      <c r="CA933" s="68"/>
      <c r="CB933" s="68"/>
      <c r="CC933" s="68"/>
    </row>
    <row r="934" spans="1:81" ht="15.75" x14ac:dyDescent="0.25">
      <c r="A934" s="68"/>
      <c r="B934" s="68"/>
      <c r="C934" s="68"/>
      <c r="D934" s="69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  <c r="AI934" s="68"/>
      <c r="AJ934" s="68"/>
      <c r="AK934" s="68"/>
      <c r="AL934" s="68"/>
      <c r="AM934" s="68"/>
      <c r="AN934" s="68"/>
      <c r="AO934" s="68"/>
      <c r="AP934" s="68"/>
      <c r="AQ934" s="68"/>
      <c r="AR934" s="68"/>
      <c r="AS934" s="68"/>
      <c r="AT934" s="68"/>
      <c r="AU934" s="68"/>
      <c r="AV934" s="68"/>
      <c r="AW934" s="68"/>
      <c r="AX934" s="68"/>
      <c r="AY934" s="68"/>
      <c r="AZ934" s="68"/>
      <c r="BA934" s="68"/>
      <c r="BB934" s="68"/>
      <c r="BC934" s="68"/>
      <c r="BD934" s="68"/>
      <c r="BE934" s="68"/>
      <c r="BF934" s="68"/>
      <c r="BG934" s="68"/>
      <c r="BH934" s="68"/>
      <c r="BI934" s="68"/>
      <c r="BJ934" s="68"/>
      <c r="BK934" s="68"/>
      <c r="BL934" s="68"/>
      <c r="BM934" s="68"/>
      <c r="BN934" s="68"/>
      <c r="BO934" s="68"/>
      <c r="BP934" s="68"/>
      <c r="BQ934" s="68"/>
      <c r="BR934" s="68"/>
      <c r="BS934" s="68"/>
      <c r="BT934" s="68"/>
      <c r="BU934" s="68"/>
      <c r="BV934" s="68"/>
      <c r="BW934" s="68"/>
      <c r="BX934" s="68"/>
      <c r="BY934" s="68"/>
      <c r="BZ934" s="68"/>
      <c r="CA934" s="68"/>
      <c r="CB934" s="68"/>
      <c r="CC934" s="68"/>
    </row>
    <row r="935" spans="1:81" ht="15.75" x14ac:dyDescent="0.25">
      <c r="A935" s="68"/>
      <c r="B935" s="68"/>
      <c r="C935" s="68"/>
      <c r="D935" s="69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  <c r="AI935" s="68"/>
      <c r="AJ935" s="68"/>
      <c r="AK935" s="68"/>
      <c r="AL935" s="68"/>
      <c r="AM935" s="68"/>
      <c r="AN935" s="68"/>
      <c r="AO935" s="68"/>
      <c r="AP935" s="68"/>
      <c r="AQ935" s="68"/>
      <c r="AR935" s="68"/>
      <c r="AS935" s="68"/>
      <c r="AT935" s="68"/>
      <c r="AU935" s="68"/>
      <c r="AV935" s="68"/>
      <c r="AW935" s="68"/>
      <c r="AX935" s="68"/>
      <c r="AY935" s="68"/>
      <c r="AZ935" s="68"/>
      <c r="BA935" s="68"/>
      <c r="BB935" s="68"/>
      <c r="BC935" s="68"/>
      <c r="BD935" s="68"/>
      <c r="BE935" s="68"/>
      <c r="BF935" s="68"/>
      <c r="BG935" s="68"/>
      <c r="BH935" s="68"/>
      <c r="BI935" s="68"/>
      <c r="BJ935" s="68"/>
      <c r="BK935" s="68"/>
      <c r="BL935" s="68"/>
      <c r="BM935" s="68"/>
      <c r="BN935" s="68"/>
      <c r="BO935" s="68"/>
      <c r="BP935" s="68"/>
      <c r="BQ935" s="68"/>
      <c r="BR935" s="68"/>
      <c r="BS935" s="68"/>
      <c r="BT935" s="68"/>
      <c r="BU935" s="68"/>
      <c r="BV935" s="68"/>
      <c r="BW935" s="68"/>
      <c r="BX935" s="68"/>
      <c r="BY935" s="68"/>
      <c r="BZ935" s="68"/>
      <c r="CA935" s="68"/>
      <c r="CB935" s="68"/>
      <c r="CC935" s="68"/>
    </row>
    <row r="936" spans="1:81" ht="15.75" x14ac:dyDescent="0.25">
      <c r="A936" s="68"/>
      <c r="B936" s="68"/>
      <c r="C936" s="68"/>
      <c r="D936" s="69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  <c r="AI936" s="68"/>
      <c r="AJ936" s="68"/>
      <c r="AK936" s="68"/>
      <c r="AL936" s="68"/>
      <c r="AM936" s="68"/>
      <c r="AN936" s="68"/>
      <c r="AO936" s="68"/>
      <c r="AP936" s="68"/>
      <c r="AQ936" s="68"/>
      <c r="AR936" s="68"/>
      <c r="AS936" s="68"/>
      <c r="AT936" s="68"/>
      <c r="AU936" s="68"/>
      <c r="AV936" s="68"/>
      <c r="AW936" s="68"/>
      <c r="AX936" s="68"/>
      <c r="AY936" s="68"/>
      <c r="AZ936" s="68"/>
      <c r="BA936" s="68"/>
      <c r="BB936" s="68"/>
      <c r="BC936" s="68"/>
      <c r="BD936" s="68"/>
      <c r="BE936" s="68"/>
      <c r="BF936" s="68"/>
      <c r="BG936" s="68"/>
      <c r="BH936" s="68"/>
      <c r="BI936" s="68"/>
      <c r="BJ936" s="68"/>
      <c r="BK936" s="68"/>
      <c r="BL936" s="68"/>
      <c r="BM936" s="68"/>
      <c r="BN936" s="68"/>
      <c r="BO936" s="68"/>
      <c r="BP936" s="68"/>
      <c r="BQ936" s="68"/>
      <c r="BR936" s="68"/>
      <c r="BS936" s="68"/>
      <c r="BT936" s="68"/>
      <c r="BU936" s="68"/>
      <c r="BV936" s="68"/>
      <c r="BW936" s="68"/>
      <c r="BX936" s="68"/>
      <c r="BY936" s="68"/>
      <c r="BZ936" s="68"/>
      <c r="CA936" s="68"/>
      <c r="CB936" s="68"/>
      <c r="CC936" s="68"/>
    </row>
    <row r="937" spans="1:81" ht="15.75" x14ac:dyDescent="0.25">
      <c r="A937" s="68"/>
      <c r="B937" s="68"/>
      <c r="C937" s="68"/>
      <c r="D937" s="69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  <c r="AI937" s="68"/>
      <c r="AJ937" s="68"/>
      <c r="AK937" s="68"/>
      <c r="AL937" s="68"/>
      <c r="AM937" s="68"/>
      <c r="AN937" s="68"/>
      <c r="AO937" s="68"/>
      <c r="AP937" s="68"/>
      <c r="AQ937" s="68"/>
      <c r="AR937" s="68"/>
      <c r="AS937" s="68"/>
      <c r="AT937" s="68"/>
      <c r="AU937" s="68"/>
      <c r="AV937" s="68"/>
      <c r="AW937" s="68"/>
      <c r="AX937" s="68"/>
      <c r="AY937" s="68"/>
      <c r="AZ937" s="68"/>
      <c r="BA937" s="68"/>
      <c r="BB937" s="68"/>
      <c r="BC937" s="68"/>
      <c r="BD937" s="68"/>
      <c r="BE937" s="68"/>
      <c r="BF937" s="68"/>
      <c r="BG937" s="68"/>
      <c r="BH937" s="68"/>
      <c r="BI937" s="68"/>
      <c r="BJ937" s="68"/>
      <c r="BK937" s="68"/>
      <c r="BL937" s="68"/>
      <c r="BM937" s="68"/>
      <c r="BN937" s="68"/>
      <c r="BO937" s="68"/>
      <c r="BP937" s="68"/>
      <c r="BQ937" s="68"/>
      <c r="BR937" s="68"/>
      <c r="BS937" s="68"/>
      <c r="BT937" s="68"/>
      <c r="BU937" s="68"/>
      <c r="BV937" s="68"/>
      <c r="BW937" s="68"/>
      <c r="BX937" s="68"/>
      <c r="BY937" s="68"/>
      <c r="BZ937" s="68"/>
      <c r="CA937" s="68"/>
      <c r="CB937" s="68"/>
      <c r="CC937" s="68"/>
    </row>
    <row r="938" spans="1:81" ht="15.75" x14ac:dyDescent="0.25">
      <c r="A938" s="68"/>
      <c r="B938" s="68"/>
      <c r="C938" s="68"/>
      <c r="D938" s="69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  <c r="AI938" s="68"/>
      <c r="AJ938" s="68"/>
      <c r="AK938" s="68"/>
      <c r="AL938" s="68"/>
      <c r="AM938" s="68"/>
      <c r="AN938" s="68"/>
      <c r="AO938" s="68"/>
      <c r="AP938" s="68"/>
      <c r="AQ938" s="68"/>
      <c r="AR938" s="68"/>
      <c r="AS938" s="68"/>
      <c r="AT938" s="68"/>
      <c r="AU938" s="68"/>
      <c r="AV938" s="68"/>
      <c r="AW938" s="68"/>
      <c r="AX938" s="68"/>
      <c r="AY938" s="68"/>
      <c r="AZ938" s="68"/>
      <c r="BA938" s="68"/>
      <c r="BB938" s="68"/>
      <c r="BC938" s="68"/>
      <c r="BD938" s="68"/>
      <c r="BE938" s="68"/>
      <c r="BF938" s="68"/>
      <c r="BG938" s="68"/>
      <c r="BH938" s="68"/>
      <c r="BI938" s="68"/>
      <c r="BJ938" s="68"/>
      <c r="BK938" s="68"/>
      <c r="BL938" s="68"/>
      <c r="BM938" s="68"/>
      <c r="BN938" s="68"/>
      <c r="BO938" s="68"/>
      <c r="BP938" s="68"/>
      <c r="BQ938" s="68"/>
      <c r="BR938" s="68"/>
      <c r="BS938" s="68"/>
      <c r="BT938" s="68"/>
      <c r="BU938" s="68"/>
      <c r="BV938" s="68"/>
      <c r="BW938" s="68"/>
      <c r="BX938" s="68"/>
      <c r="BY938" s="68"/>
      <c r="BZ938" s="68"/>
      <c r="CA938" s="68"/>
      <c r="CB938" s="68"/>
      <c r="CC938" s="68"/>
    </row>
    <row r="939" spans="1:81" ht="15.75" x14ac:dyDescent="0.25">
      <c r="A939" s="68"/>
      <c r="B939" s="68"/>
      <c r="C939" s="68"/>
      <c r="D939" s="69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  <c r="AI939" s="68"/>
      <c r="AJ939" s="68"/>
      <c r="AK939" s="68"/>
      <c r="AL939" s="68"/>
      <c r="AM939" s="68"/>
      <c r="AN939" s="68"/>
      <c r="AO939" s="68"/>
      <c r="AP939" s="68"/>
      <c r="AQ939" s="68"/>
      <c r="AR939" s="68"/>
      <c r="AS939" s="68"/>
      <c r="AT939" s="68"/>
      <c r="AU939" s="68"/>
      <c r="AV939" s="68"/>
      <c r="AW939" s="68"/>
      <c r="AX939" s="68"/>
      <c r="AY939" s="68"/>
      <c r="AZ939" s="68"/>
      <c r="BA939" s="68"/>
      <c r="BB939" s="68"/>
      <c r="BC939" s="68"/>
      <c r="BD939" s="68"/>
      <c r="BE939" s="68"/>
      <c r="BF939" s="68"/>
      <c r="BG939" s="68"/>
      <c r="BH939" s="68"/>
      <c r="BI939" s="68"/>
      <c r="BJ939" s="68"/>
      <c r="BK939" s="68"/>
      <c r="BL939" s="68"/>
      <c r="BM939" s="68"/>
      <c r="BN939" s="68"/>
      <c r="BO939" s="68"/>
      <c r="BP939" s="68"/>
      <c r="BQ939" s="68"/>
      <c r="BR939" s="68"/>
      <c r="BS939" s="68"/>
      <c r="BT939" s="68"/>
      <c r="BU939" s="68"/>
      <c r="BV939" s="68"/>
      <c r="BW939" s="68"/>
      <c r="BX939" s="68"/>
      <c r="BY939" s="68"/>
      <c r="BZ939" s="68"/>
      <c r="CA939" s="68"/>
      <c r="CB939" s="68"/>
      <c r="CC939" s="68"/>
    </row>
    <row r="940" spans="1:81" ht="15.75" x14ac:dyDescent="0.25">
      <c r="A940" s="68"/>
      <c r="B940" s="68"/>
      <c r="C940" s="68"/>
      <c r="D940" s="69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  <c r="AI940" s="68"/>
      <c r="AJ940" s="68"/>
      <c r="AK940" s="68"/>
      <c r="AL940" s="68"/>
      <c r="AM940" s="68"/>
      <c r="AN940" s="68"/>
      <c r="AO940" s="68"/>
      <c r="AP940" s="68"/>
      <c r="AQ940" s="68"/>
      <c r="AR940" s="68"/>
      <c r="AS940" s="68"/>
      <c r="AT940" s="68"/>
      <c r="AU940" s="68"/>
      <c r="AV940" s="68"/>
      <c r="AW940" s="68"/>
      <c r="AX940" s="68"/>
      <c r="AY940" s="68"/>
      <c r="AZ940" s="68"/>
      <c r="BA940" s="68"/>
      <c r="BB940" s="68"/>
      <c r="BC940" s="68"/>
      <c r="BD940" s="68"/>
      <c r="BE940" s="68"/>
      <c r="BF940" s="68"/>
      <c r="BG940" s="68"/>
      <c r="BH940" s="68"/>
      <c r="BI940" s="68"/>
      <c r="BJ940" s="68"/>
      <c r="BK940" s="68"/>
      <c r="BL940" s="68"/>
      <c r="BM940" s="68"/>
      <c r="BN940" s="68"/>
      <c r="BO940" s="68"/>
      <c r="BP940" s="68"/>
      <c r="BQ940" s="68"/>
      <c r="BR940" s="68"/>
      <c r="BS940" s="68"/>
      <c r="BT940" s="68"/>
      <c r="BU940" s="68"/>
      <c r="BV940" s="68"/>
      <c r="BW940" s="68"/>
      <c r="BX940" s="68"/>
      <c r="BY940" s="68"/>
      <c r="BZ940" s="68"/>
      <c r="CA940" s="68"/>
      <c r="CB940" s="68"/>
      <c r="CC940" s="68"/>
    </row>
    <row r="941" spans="1:81" ht="15.75" x14ac:dyDescent="0.25">
      <c r="A941" s="68"/>
      <c r="B941" s="68"/>
      <c r="C941" s="68"/>
      <c r="D941" s="69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  <c r="AI941" s="68"/>
      <c r="AJ941" s="68"/>
      <c r="AK941" s="68"/>
      <c r="AL941" s="68"/>
      <c r="AM941" s="68"/>
      <c r="AN941" s="68"/>
      <c r="AO941" s="68"/>
      <c r="AP941" s="68"/>
      <c r="AQ941" s="68"/>
      <c r="AR941" s="68"/>
      <c r="AS941" s="68"/>
      <c r="AT941" s="68"/>
      <c r="AU941" s="68"/>
      <c r="AV941" s="68"/>
      <c r="AW941" s="68"/>
      <c r="AX941" s="68"/>
      <c r="AY941" s="68"/>
      <c r="AZ941" s="68"/>
      <c r="BA941" s="68"/>
      <c r="BB941" s="68"/>
      <c r="BC941" s="68"/>
      <c r="BD941" s="68"/>
      <c r="BE941" s="68"/>
      <c r="BF941" s="68"/>
      <c r="BG941" s="68"/>
      <c r="BH941" s="68"/>
      <c r="BI941" s="68"/>
      <c r="BJ941" s="68"/>
      <c r="BK941" s="68"/>
      <c r="BL941" s="68"/>
      <c r="BM941" s="68"/>
      <c r="BN941" s="68"/>
      <c r="BO941" s="68"/>
      <c r="BP941" s="68"/>
      <c r="BQ941" s="68"/>
      <c r="BR941" s="68"/>
      <c r="BS941" s="68"/>
      <c r="BT941" s="68"/>
      <c r="BU941" s="68"/>
      <c r="BV941" s="68"/>
      <c r="BW941" s="68"/>
      <c r="BX941" s="68"/>
      <c r="BY941" s="68"/>
      <c r="BZ941" s="68"/>
      <c r="CA941" s="68"/>
      <c r="CB941" s="68"/>
      <c r="CC941" s="68"/>
    </row>
    <row r="942" spans="1:81" ht="15.75" x14ac:dyDescent="0.25">
      <c r="A942" s="68"/>
      <c r="B942" s="68"/>
      <c r="C942" s="68"/>
      <c r="D942" s="69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  <c r="AI942" s="68"/>
      <c r="AJ942" s="68"/>
      <c r="AK942" s="68"/>
      <c r="AL942" s="68"/>
      <c r="AM942" s="68"/>
      <c r="AN942" s="68"/>
      <c r="AO942" s="68"/>
      <c r="AP942" s="68"/>
      <c r="AQ942" s="68"/>
      <c r="AR942" s="68"/>
      <c r="AS942" s="68"/>
      <c r="AT942" s="68"/>
      <c r="AU942" s="68"/>
      <c r="AV942" s="68"/>
      <c r="AW942" s="68"/>
      <c r="AX942" s="68"/>
      <c r="AY942" s="68"/>
      <c r="AZ942" s="68"/>
      <c r="BA942" s="68"/>
      <c r="BB942" s="68"/>
      <c r="BC942" s="68"/>
      <c r="BD942" s="68"/>
      <c r="BE942" s="68"/>
      <c r="BF942" s="68"/>
      <c r="BG942" s="68"/>
      <c r="BH942" s="68"/>
      <c r="BI942" s="68"/>
      <c r="BJ942" s="68"/>
      <c r="BK942" s="68"/>
      <c r="BL942" s="68"/>
      <c r="BM942" s="68"/>
      <c r="BN942" s="68"/>
      <c r="BO942" s="68"/>
      <c r="BP942" s="68"/>
      <c r="BQ942" s="68"/>
      <c r="BR942" s="68"/>
      <c r="BS942" s="68"/>
      <c r="BT942" s="68"/>
      <c r="BU942" s="68"/>
      <c r="BV942" s="68"/>
      <c r="BW942" s="68"/>
      <c r="BX942" s="68"/>
      <c r="BY942" s="68"/>
      <c r="BZ942" s="68"/>
      <c r="CA942" s="68"/>
      <c r="CB942" s="68"/>
      <c r="CC942" s="68"/>
    </row>
    <row r="943" spans="1:81" ht="15.75" x14ac:dyDescent="0.25">
      <c r="A943" s="68"/>
      <c r="B943" s="68"/>
      <c r="C943" s="68"/>
      <c r="D943" s="69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  <c r="AI943" s="68"/>
      <c r="AJ943" s="68"/>
      <c r="AK943" s="68"/>
      <c r="AL943" s="68"/>
      <c r="AM943" s="68"/>
      <c r="AN943" s="68"/>
      <c r="AO943" s="68"/>
      <c r="AP943" s="68"/>
      <c r="AQ943" s="68"/>
      <c r="AR943" s="68"/>
      <c r="AS943" s="68"/>
      <c r="AT943" s="68"/>
      <c r="AU943" s="68"/>
      <c r="AV943" s="68"/>
      <c r="AW943" s="68"/>
      <c r="AX943" s="68"/>
      <c r="AY943" s="68"/>
      <c r="AZ943" s="68"/>
      <c r="BA943" s="68"/>
      <c r="BB943" s="68"/>
      <c r="BC943" s="68"/>
      <c r="BD943" s="68"/>
      <c r="BE943" s="68"/>
      <c r="BF943" s="68"/>
      <c r="BG943" s="68"/>
      <c r="BH943" s="68"/>
      <c r="BI943" s="68"/>
      <c r="BJ943" s="68"/>
      <c r="BK943" s="68"/>
      <c r="BL943" s="68"/>
      <c r="BM943" s="68"/>
      <c r="BN943" s="68"/>
      <c r="BO943" s="68"/>
      <c r="BP943" s="68"/>
      <c r="BQ943" s="68"/>
      <c r="BR943" s="68"/>
      <c r="BS943" s="68"/>
      <c r="BT943" s="68"/>
      <c r="BU943" s="68"/>
      <c r="BV943" s="68"/>
      <c r="BW943" s="68"/>
      <c r="BX943" s="68"/>
      <c r="BY943" s="68"/>
      <c r="BZ943" s="68"/>
      <c r="CA943" s="68"/>
      <c r="CB943" s="68"/>
      <c r="CC943" s="68"/>
    </row>
    <row r="944" spans="1:81" ht="15.75" x14ac:dyDescent="0.25">
      <c r="A944" s="68"/>
      <c r="B944" s="68"/>
      <c r="C944" s="68"/>
      <c r="D944" s="69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  <c r="AI944" s="68"/>
      <c r="AJ944" s="68"/>
      <c r="AK944" s="68"/>
      <c r="AL944" s="68"/>
      <c r="AM944" s="68"/>
      <c r="AN944" s="68"/>
      <c r="AO944" s="68"/>
      <c r="AP944" s="68"/>
      <c r="AQ944" s="68"/>
      <c r="AR944" s="68"/>
      <c r="AS944" s="68"/>
      <c r="AT944" s="68"/>
      <c r="AU944" s="68"/>
      <c r="AV944" s="68"/>
      <c r="AW944" s="68"/>
      <c r="AX944" s="68"/>
      <c r="AY944" s="68"/>
      <c r="AZ944" s="68"/>
      <c r="BA944" s="68"/>
      <c r="BB944" s="68"/>
      <c r="BC944" s="68"/>
      <c r="BD944" s="68"/>
      <c r="BE944" s="68"/>
      <c r="BF944" s="68"/>
      <c r="BG944" s="68"/>
      <c r="BH944" s="68"/>
      <c r="BI944" s="68"/>
      <c r="BJ944" s="68"/>
      <c r="BK944" s="68"/>
      <c r="BL944" s="68"/>
      <c r="BM944" s="68"/>
      <c r="BN944" s="68"/>
      <c r="BO944" s="68"/>
      <c r="BP944" s="68"/>
      <c r="BQ944" s="68"/>
      <c r="BR944" s="68"/>
      <c r="BS944" s="68"/>
      <c r="BT944" s="68"/>
      <c r="BU944" s="68"/>
      <c r="BV944" s="68"/>
      <c r="BW944" s="68"/>
      <c r="BX944" s="68"/>
      <c r="BY944" s="68"/>
      <c r="BZ944" s="68"/>
      <c r="CA944" s="68"/>
      <c r="CB944" s="68"/>
      <c r="CC944" s="68"/>
    </row>
    <row r="945" spans="1:81" ht="15.75" x14ac:dyDescent="0.25">
      <c r="A945" s="68"/>
      <c r="B945" s="68"/>
      <c r="C945" s="68"/>
      <c r="D945" s="69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  <c r="AD945" s="68"/>
      <c r="AE945" s="68"/>
      <c r="AF945" s="68"/>
      <c r="AG945" s="68"/>
      <c r="AH945" s="68"/>
      <c r="AI945" s="68"/>
      <c r="AJ945" s="68"/>
      <c r="AK945" s="68"/>
      <c r="AL945" s="68"/>
      <c r="AM945" s="68"/>
      <c r="AN945" s="68"/>
      <c r="AO945" s="68"/>
      <c r="AP945" s="68"/>
      <c r="AQ945" s="68"/>
      <c r="AR945" s="68"/>
      <c r="AS945" s="68"/>
      <c r="AT945" s="68"/>
      <c r="AU945" s="68"/>
      <c r="AV945" s="68"/>
      <c r="AW945" s="68"/>
      <c r="AX945" s="68"/>
      <c r="AY945" s="68"/>
      <c r="AZ945" s="68"/>
      <c r="BA945" s="68"/>
      <c r="BB945" s="68"/>
      <c r="BC945" s="68"/>
      <c r="BD945" s="68"/>
      <c r="BE945" s="68"/>
      <c r="BF945" s="68"/>
      <c r="BG945" s="68"/>
      <c r="BH945" s="68"/>
      <c r="BI945" s="68"/>
      <c r="BJ945" s="68"/>
      <c r="BK945" s="68"/>
      <c r="BL945" s="68"/>
      <c r="BM945" s="68"/>
      <c r="BN945" s="68"/>
      <c r="BO945" s="68"/>
      <c r="BP945" s="68"/>
      <c r="BQ945" s="68"/>
      <c r="BR945" s="68"/>
      <c r="BS945" s="68"/>
      <c r="BT945" s="68"/>
      <c r="BU945" s="68"/>
      <c r="BV945" s="68"/>
      <c r="BW945" s="68"/>
      <c r="BX945" s="68"/>
      <c r="BY945" s="68"/>
      <c r="BZ945" s="68"/>
      <c r="CA945" s="68"/>
      <c r="CB945" s="68"/>
      <c r="CC945" s="68"/>
    </row>
    <row r="946" spans="1:81" ht="15.75" x14ac:dyDescent="0.25">
      <c r="A946" s="68"/>
      <c r="B946" s="68"/>
      <c r="C946" s="68"/>
      <c r="D946" s="69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  <c r="AI946" s="68"/>
      <c r="AJ946" s="68"/>
      <c r="AK946" s="68"/>
      <c r="AL946" s="68"/>
      <c r="AM946" s="68"/>
      <c r="AN946" s="68"/>
      <c r="AO946" s="68"/>
      <c r="AP946" s="68"/>
      <c r="AQ946" s="68"/>
      <c r="AR946" s="68"/>
      <c r="AS946" s="68"/>
      <c r="AT946" s="68"/>
      <c r="AU946" s="68"/>
      <c r="AV946" s="68"/>
      <c r="AW946" s="68"/>
      <c r="AX946" s="68"/>
      <c r="AY946" s="68"/>
      <c r="AZ946" s="68"/>
      <c r="BA946" s="68"/>
      <c r="BB946" s="68"/>
      <c r="BC946" s="68"/>
      <c r="BD946" s="68"/>
      <c r="BE946" s="68"/>
      <c r="BF946" s="68"/>
      <c r="BG946" s="68"/>
      <c r="BH946" s="68"/>
      <c r="BI946" s="68"/>
      <c r="BJ946" s="68"/>
      <c r="BK946" s="68"/>
      <c r="BL946" s="68"/>
      <c r="BM946" s="68"/>
      <c r="BN946" s="68"/>
      <c r="BO946" s="68"/>
      <c r="BP946" s="68"/>
      <c r="BQ946" s="68"/>
      <c r="BR946" s="68"/>
      <c r="BS946" s="68"/>
      <c r="BT946" s="68"/>
      <c r="BU946" s="68"/>
      <c r="BV946" s="68"/>
      <c r="BW946" s="68"/>
      <c r="BX946" s="68"/>
      <c r="BY946" s="68"/>
      <c r="BZ946" s="68"/>
      <c r="CA946" s="68"/>
      <c r="CB946" s="68"/>
      <c r="CC946" s="68"/>
    </row>
    <row r="947" spans="1:81" ht="15.75" x14ac:dyDescent="0.25">
      <c r="A947" s="68"/>
      <c r="B947" s="68"/>
      <c r="C947" s="68"/>
      <c r="D947" s="69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  <c r="AI947" s="68"/>
      <c r="AJ947" s="68"/>
      <c r="AK947" s="68"/>
      <c r="AL947" s="68"/>
      <c r="AM947" s="68"/>
      <c r="AN947" s="68"/>
      <c r="AO947" s="68"/>
      <c r="AP947" s="68"/>
      <c r="AQ947" s="68"/>
      <c r="AR947" s="68"/>
      <c r="AS947" s="68"/>
      <c r="AT947" s="68"/>
      <c r="AU947" s="68"/>
      <c r="AV947" s="68"/>
      <c r="AW947" s="68"/>
      <c r="AX947" s="68"/>
      <c r="AY947" s="68"/>
      <c r="AZ947" s="68"/>
      <c r="BA947" s="68"/>
      <c r="BB947" s="68"/>
      <c r="BC947" s="68"/>
      <c r="BD947" s="68"/>
      <c r="BE947" s="68"/>
      <c r="BF947" s="68"/>
      <c r="BG947" s="68"/>
      <c r="BH947" s="68"/>
      <c r="BI947" s="68"/>
      <c r="BJ947" s="68"/>
      <c r="BK947" s="68"/>
      <c r="BL947" s="68"/>
      <c r="BM947" s="68"/>
      <c r="BN947" s="68"/>
      <c r="BO947" s="68"/>
      <c r="BP947" s="68"/>
      <c r="BQ947" s="68"/>
      <c r="BR947" s="68"/>
      <c r="BS947" s="68"/>
      <c r="BT947" s="68"/>
      <c r="BU947" s="68"/>
      <c r="BV947" s="68"/>
      <c r="BW947" s="68"/>
      <c r="BX947" s="68"/>
      <c r="BY947" s="68"/>
      <c r="BZ947" s="68"/>
      <c r="CA947" s="68"/>
      <c r="CB947" s="68"/>
      <c r="CC947" s="68"/>
    </row>
    <row r="948" spans="1:81" ht="15.75" x14ac:dyDescent="0.25">
      <c r="A948" s="68"/>
      <c r="B948" s="68"/>
      <c r="C948" s="68"/>
      <c r="D948" s="69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  <c r="AI948" s="68"/>
      <c r="AJ948" s="68"/>
      <c r="AK948" s="68"/>
      <c r="AL948" s="68"/>
      <c r="AM948" s="68"/>
      <c r="AN948" s="68"/>
      <c r="AO948" s="68"/>
      <c r="AP948" s="68"/>
      <c r="AQ948" s="68"/>
      <c r="AR948" s="68"/>
      <c r="AS948" s="68"/>
      <c r="AT948" s="68"/>
      <c r="AU948" s="68"/>
      <c r="AV948" s="68"/>
      <c r="AW948" s="68"/>
      <c r="AX948" s="68"/>
      <c r="AY948" s="68"/>
      <c r="AZ948" s="68"/>
      <c r="BA948" s="68"/>
      <c r="BB948" s="68"/>
      <c r="BC948" s="68"/>
      <c r="BD948" s="68"/>
      <c r="BE948" s="68"/>
      <c r="BF948" s="68"/>
      <c r="BG948" s="68"/>
      <c r="BH948" s="68"/>
      <c r="BI948" s="68"/>
      <c r="BJ948" s="68"/>
      <c r="BK948" s="68"/>
      <c r="BL948" s="68"/>
      <c r="BM948" s="68"/>
      <c r="BN948" s="68"/>
      <c r="BO948" s="68"/>
      <c r="BP948" s="68"/>
      <c r="BQ948" s="68"/>
      <c r="BR948" s="68"/>
      <c r="BS948" s="68"/>
      <c r="BT948" s="68"/>
      <c r="BU948" s="68"/>
      <c r="BV948" s="68"/>
      <c r="BW948" s="68"/>
      <c r="BX948" s="68"/>
      <c r="BY948" s="68"/>
      <c r="BZ948" s="68"/>
      <c r="CA948" s="68"/>
      <c r="CB948" s="68"/>
      <c r="CC948" s="68"/>
    </row>
    <row r="949" spans="1:81" ht="15.75" x14ac:dyDescent="0.25">
      <c r="A949" s="68"/>
      <c r="B949" s="68"/>
      <c r="C949" s="68"/>
      <c r="D949" s="69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  <c r="AI949" s="68"/>
      <c r="AJ949" s="68"/>
      <c r="AK949" s="68"/>
      <c r="AL949" s="68"/>
      <c r="AM949" s="68"/>
      <c r="AN949" s="68"/>
      <c r="AO949" s="68"/>
      <c r="AP949" s="68"/>
      <c r="AQ949" s="68"/>
      <c r="AR949" s="68"/>
      <c r="AS949" s="68"/>
      <c r="AT949" s="68"/>
      <c r="AU949" s="68"/>
      <c r="AV949" s="68"/>
      <c r="AW949" s="68"/>
      <c r="AX949" s="68"/>
      <c r="AY949" s="68"/>
      <c r="AZ949" s="68"/>
      <c r="BA949" s="68"/>
      <c r="BB949" s="68"/>
      <c r="BC949" s="68"/>
      <c r="BD949" s="68"/>
      <c r="BE949" s="68"/>
      <c r="BF949" s="68"/>
      <c r="BG949" s="68"/>
      <c r="BH949" s="68"/>
      <c r="BI949" s="68"/>
      <c r="BJ949" s="68"/>
      <c r="BK949" s="68"/>
      <c r="BL949" s="68"/>
      <c r="BM949" s="68"/>
      <c r="BN949" s="68"/>
      <c r="BO949" s="68"/>
      <c r="BP949" s="68"/>
      <c r="BQ949" s="68"/>
      <c r="BR949" s="68"/>
      <c r="BS949" s="68"/>
      <c r="BT949" s="68"/>
      <c r="BU949" s="68"/>
      <c r="BV949" s="68"/>
      <c r="BW949" s="68"/>
      <c r="BX949" s="68"/>
      <c r="BY949" s="68"/>
      <c r="BZ949" s="68"/>
      <c r="CA949" s="68"/>
      <c r="CB949" s="68"/>
      <c r="CC949" s="68"/>
    </row>
    <row r="950" spans="1:81" ht="15.75" x14ac:dyDescent="0.25">
      <c r="A950" s="68"/>
      <c r="B950" s="68"/>
      <c r="C950" s="68"/>
      <c r="D950" s="69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  <c r="AI950" s="68"/>
      <c r="AJ950" s="68"/>
      <c r="AK950" s="68"/>
      <c r="AL950" s="68"/>
      <c r="AM950" s="68"/>
      <c r="AN950" s="68"/>
      <c r="AO950" s="68"/>
      <c r="AP950" s="68"/>
      <c r="AQ950" s="68"/>
      <c r="AR950" s="68"/>
      <c r="AS950" s="68"/>
      <c r="AT950" s="68"/>
      <c r="AU950" s="68"/>
      <c r="AV950" s="68"/>
      <c r="AW950" s="68"/>
      <c r="AX950" s="68"/>
      <c r="AY950" s="68"/>
      <c r="AZ950" s="68"/>
      <c r="BA950" s="68"/>
      <c r="BB950" s="68"/>
      <c r="BC950" s="68"/>
      <c r="BD950" s="68"/>
      <c r="BE950" s="68"/>
      <c r="BF950" s="68"/>
      <c r="BG950" s="68"/>
      <c r="BH950" s="68"/>
      <c r="BI950" s="68"/>
      <c r="BJ950" s="68"/>
      <c r="BK950" s="68"/>
      <c r="BL950" s="68"/>
      <c r="BM950" s="68"/>
      <c r="BN950" s="68"/>
      <c r="BO950" s="68"/>
      <c r="BP950" s="68"/>
      <c r="BQ950" s="68"/>
      <c r="BR950" s="68"/>
      <c r="BS950" s="68"/>
      <c r="BT950" s="68"/>
      <c r="BU950" s="68"/>
      <c r="BV950" s="68"/>
      <c r="BW950" s="68"/>
      <c r="BX950" s="68"/>
      <c r="BY950" s="68"/>
      <c r="BZ950" s="68"/>
      <c r="CA950" s="68"/>
      <c r="CB950" s="68"/>
      <c r="CC950" s="68"/>
    </row>
    <row r="951" spans="1:81" ht="15.75" x14ac:dyDescent="0.25">
      <c r="A951" s="68"/>
      <c r="B951" s="68"/>
      <c r="C951" s="68"/>
      <c r="D951" s="69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  <c r="AI951" s="68"/>
      <c r="AJ951" s="68"/>
      <c r="AK951" s="68"/>
      <c r="AL951" s="68"/>
      <c r="AM951" s="68"/>
      <c r="AN951" s="68"/>
      <c r="AO951" s="68"/>
      <c r="AP951" s="68"/>
      <c r="AQ951" s="68"/>
      <c r="AR951" s="68"/>
      <c r="AS951" s="68"/>
      <c r="AT951" s="68"/>
      <c r="AU951" s="68"/>
      <c r="AV951" s="68"/>
      <c r="AW951" s="68"/>
      <c r="AX951" s="68"/>
      <c r="AY951" s="68"/>
      <c r="AZ951" s="68"/>
      <c r="BA951" s="68"/>
      <c r="BB951" s="68"/>
      <c r="BC951" s="68"/>
      <c r="BD951" s="68"/>
      <c r="BE951" s="68"/>
      <c r="BF951" s="68"/>
      <c r="BG951" s="68"/>
      <c r="BH951" s="68"/>
      <c r="BI951" s="68"/>
      <c r="BJ951" s="68"/>
      <c r="BK951" s="68"/>
      <c r="BL951" s="68"/>
      <c r="BM951" s="68"/>
      <c r="BN951" s="68"/>
      <c r="BO951" s="68"/>
      <c r="BP951" s="68"/>
      <c r="BQ951" s="68"/>
      <c r="BR951" s="68"/>
      <c r="BS951" s="68"/>
      <c r="BT951" s="68"/>
      <c r="BU951" s="68"/>
      <c r="BV951" s="68"/>
      <c r="BW951" s="68"/>
      <c r="BX951" s="68"/>
      <c r="BY951" s="68"/>
      <c r="BZ951" s="68"/>
      <c r="CA951" s="68"/>
      <c r="CB951" s="68"/>
      <c r="CC951" s="68"/>
    </row>
    <row r="952" spans="1:81" ht="15.75" x14ac:dyDescent="0.25">
      <c r="A952" s="68"/>
      <c r="B952" s="68"/>
      <c r="C952" s="68"/>
      <c r="D952" s="69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  <c r="AI952" s="68"/>
      <c r="AJ952" s="68"/>
      <c r="AK952" s="68"/>
      <c r="AL952" s="68"/>
      <c r="AM952" s="68"/>
      <c r="AN952" s="68"/>
      <c r="AO952" s="68"/>
      <c r="AP952" s="68"/>
      <c r="AQ952" s="68"/>
      <c r="AR952" s="68"/>
      <c r="AS952" s="68"/>
      <c r="AT952" s="68"/>
      <c r="AU952" s="68"/>
      <c r="AV952" s="68"/>
      <c r="AW952" s="68"/>
      <c r="AX952" s="68"/>
      <c r="AY952" s="68"/>
      <c r="AZ952" s="68"/>
      <c r="BA952" s="68"/>
      <c r="BB952" s="68"/>
      <c r="BC952" s="68"/>
      <c r="BD952" s="68"/>
      <c r="BE952" s="68"/>
      <c r="BF952" s="68"/>
      <c r="BG952" s="68"/>
      <c r="BH952" s="68"/>
      <c r="BI952" s="68"/>
      <c r="BJ952" s="68"/>
      <c r="BK952" s="68"/>
      <c r="BL952" s="68"/>
      <c r="BM952" s="68"/>
      <c r="BN952" s="68"/>
      <c r="BO952" s="68"/>
      <c r="BP952" s="68"/>
      <c r="BQ952" s="68"/>
      <c r="BR952" s="68"/>
      <c r="BS952" s="68"/>
      <c r="BT952" s="68"/>
      <c r="BU952" s="68"/>
      <c r="BV952" s="68"/>
      <c r="BW952" s="68"/>
      <c r="BX952" s="68"/>
      <c r="BY952" s="68"/>
      <c r="BZ952" s="68"/>
      <c r="CA952" s="68"/>
      <c r="CB952" s="68"/>
      <c r="CC952" s="68"/>
    </row>
    <row r="953" spans="1:81" ht="15.75" x14ac:dyDescent="0.25">
      <c r="A953" s="68"/>
      <c r="B953" s="68"/>
      <c r="C953" s="68"/>
      <c r="D953" s="69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  <c r="AI953" s="68"/>
      <c r="AJ953" s="68"/>
      <c r="AK953" s="68"/>
      <c r="AL953" s="68"/>
      <c r="AM953" s="68"/>
      <c r="AN953" s="68"/>
      <c r="AO953" s="68"/>
      <c r="AP953" s="68"/>
      <c r="AQ953" s="68"/>
      <c r="AR953" s="68"/>
      <c r="AS953" s="68"/>
      <c r="AT953" s="68"/>
      <c r="AU953" s="68"/>
      <c r="AV953" s="68"/>
      <c r="AW953" s="68"/>
      <c r="AX953" s="68"/>
      <c r="AY953" s="68"/>
      <c r="AZ953" s="68"/>
      <c r="BA953" s="68"/>
      <c r="BB953" s="68"/>
      <c r="BC953" s="68"/>
      <c r="BD953" s="68"/>
      <c r="BE953" s="68"/>
      <c r="BF953" s="68"/>
      <c r="BG953" s="68"/>
      <c r="BH953" s="68"/>
      <c r="BI953" s="68"/>
      <c r="BJ953" s="68"/>
      <c r="BK953" s="68"/>
      <c r="BL953" s="68"/>
      <c r="BM953" s="68"/>
      <c r="BN953" s="68"/>
      <c r="BO953" s="68"/>
      <c r="BP953" s="68"/>
      <c r="BQ953" s="68"/>
      <c r="BR953" s="68"/>
      <c r="BS953" s="68"/>
      <c r="BT953" s="68"/>
      <c r="BU953" s="68"/>
      <c r="BV953" s="68"/>
      <c r="BW953" s="68"/>
      <c r="BX953" s="68"/>
      <c r="BY953" s="68"/>
      <c r="BZ953" s="68"/>
      <c r="CA953" s="68"/>
      <c r="CB953" s="68"/>
      <c r="CC953" s="68"/>
    </row>
    <row r="954" spans="1:81" ht="15.75" x14ac:dyDescent="0.25">
      <c r="A954" s="68"/>
      <c r="B954" s="68"/>
      <c r="C954" s="68"/>
      <c r="D954" s="69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  <c r="AI954" s="68"/>
      <c r="AJ954" s="68"/>
      <c r="AK954" s="68"/>
      <c r="AL954" s="68"/>
      <c r="AM954" s="68"/>
      <c r="AN954" s="68"/>
      <c r="AO954" s="68"/>
      <c r="AP954" s="68"/>
      <c r="AQ954" s="68"/>
      <c r="AR954" s="68"/>
      <c r="AS954" s="68"/>
      <c r="AT954" s="68"/>
      <c r="AU954" s="68"/>
      <c r="AV954" s="68"/>
      <c r="AW954" s="68"/>
      <c r="AX954" s="68"/>
      <c r="AY954" s="68"/>
      <c r="AZ954" s="68"/>
      <c r="BA954" s="68"/>
      <c r="BB954" s="68"/>
      <c r="BC954" s="68"/>
      <c r="BD954" s="68"/>
      <c r="BE954" s="68"/>
      <c r="BF954" s="68"/>
      <c r="BG954" s="68"/>
      <c r="BH954" s="68"/>
      <c r="BI954" s="68"/>
      <c r="BJ954" s="68"/>
      <c r="BK954" s="68"/>
      <c r="BL954" s="68"/>
      <c r="BM954" s="68"/>
      <c r="BN954" s="68"/>
      <c r="BO954" s="68"/>
      <c r="BP954" s="68"/>
      <c r="BQ954" s="68"/>
      <c r="BR954" s="68"/>
      <c r="BS954" s="68"/>
      <c r="BT954" s="68"/>
      <c r="BU954" s="68"/>
      <c r="BV954" s="68"/>
      <c r="BW954" s="68"/>
      <c r="BX954" s="68"/>
      <c r="BY954" s="68"/>
      <c r="BZ954" s="68"/>
      <c r="CA954" s="68"/>
      <c r="CB954" s="68"/>
      <c r="CC954" s="68"/>
    </row>
    <row r="955" spans="1:81" ht="15.75" x14ac:dyDescent="0.25">
      <c r="A955" s="68"/>
      <c r="B955" s="68"/>
      <c r="C955" s="68"/>
      <c r="D955" s="69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  <c r="AI955" s="68"/>
      <c r="AJ955" s="68"/>
      <c r="AK955" s="68"/>
      <c r="AL955" s="68"/>
      <c r="AM955" s="68"/>
      <c r="AN955" s="68"/>
      <c r="AO955" s="68"/>
      <c r="AP955" s="68"/>
      <c r="AQ955" s="68"/>
      <c r="AR955" s="68"/>
      <c r="AS955" s="68"/>
      <c r="AT955" s="68"/>
      <c r="AU955" s="68"/>
      <c r="AV955" s="68"/>
      <c r="AW955" s="68"/>
      <c r="AX955" s="68"/>
      <c r="AY955" s="68"/>
      <c r="AZ955" s="68"/>
      <c r="BA955" s="68"/>
      <c r="BB955" s="68"/>
      <c r="BC955" s="68"/>
      <c r="BD955" s="68"/>
      <c r="BE955" s="68"/>
      <c r="BF955" s="68"/>
      <c r="BG955" s="68"/>
      <c r="BH955" s="68"/>
      <c r="BI955" s="68"/>
      <c r="BJ955" s="68"/>
      <c r="BK955" s="68"/>
      <c r="BL955" s="68"/>
      <c r="BM955" s="68"/>
      <c r="BN955" s="68"/>
      <c r="BO955" s="68"/>
      <c r="BP955" s="68"/>
      <c r="BQ955" s="68"/>
      <c r="BR955" s="68"/>
      <c r="BS955" s="68"/>
      <c r="BT955" s="68"/>
      <c r="BU955" s="68"/>
      <c r="BV955" s="68"/>
      <c r="BW955" s="68"/>
      <c r="BX955" s="68"/>
      <c r="BY955" s="68"/>
      <c r="BZ955" s="68"/>
      <c r="CA955" s="68"/>
      <c r="CB955" s="68"/>
      <c r="CC955" s="68"/>
    </row>
    <row r="956" spans="1:81" ht="15.75" x14ac:dyDescent="0.25">
      <c r="A956" s="68"/>
      <c r="B956" s="68"/>
      <c r="C956" s="68"/>
      <c r="D956" s="69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  <c r="AI956" s="68"/>
      <c r="AJ956" s="68"/>
      <c r="AK956" s="68"/>
      <c r="AL956" s="68"/>
      <c r="AM956" s="68"/>
      <c r="AN956" s="68"/>
      <c r="AO956" s="68"/>
      <c r="AP956" s="68"/>
      <c r="AQ956" s="68"/>
      <c r="AR956" s="68"/>
      <c r="AS956" s="68"/>
      <c r="AT956" s="68"/>
      <c r="AU956" s="68"/>
      <c r="AV956" s="68"/>
      <c r="AW956" s="68"/>
      <c r="AX956" s="68"/>
      <c r="AY956" s="68"/>
      <c r="AZ956" s="68"/>
      <c r="BA956" s="68"/>
      <c r="BB956" s="68"/>
      <c r="BC956" s="68"/>
      <c r="BD956" s="68"/>
      <c r="BE956" s="68"/>
      <c r="BF956" s="68"/>
      <c r="BG956" s="68"/>
      <c r="BH956" s="68"/>
      <c r="BI956" s="68"/>
      <c r="BJ956" s="68"/>
      <c r="BK956" s="68"/>
      <c r="BL956" s="68"/>
      <c r="BM956" s="68"/>
      <c r="BN956" s="68"/>
      <c r="BO956" s="68"/>
      <c r="BP956" s="68"/>
      <c r="BQ956" s="68"/>
      <c r="BR956" s="68"/>
      <c r="BS956" s="68"/>
      <c r="BT956" s="68"/>
      <c r="BU956" s="68"/>
      <c r="BV956" s="68"/>
      <c r="BW956" s="68"/>
      <c r="BX956" s="68"/>
      <c r="BY956" s="68"/>
      <c r="BZ956" s="68"/>
      <c r="CA956" s="68"/>
      <c r="CB956" s="68"/>
      <c r="CC956" s="68"/>
    </row>
    <row r="957" spans="1:81" ht="15.75" x14ac:dyDescent="0.25">
      <c r="A957" s="68"/>
      <c r="B957" s="68"/>
      <c r="C957" s="68"/>
      <c r="D957" s="69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  <c r="AI957" s="68"/>
      <c r="AJ957" s="68"/>
      <c r="AK957" s="68"/>
      <c r="AL957" s="68"/>
      <c r="AM957" s="68"/>
      <c r="AN957" s="68"/>
      <c r="AO957" s="68"/>
      <c r="AP957" s="68"/>
      <c r="AQ957" s="68"/>
      <c r="AR957" s="68"/>
      <c r="AS957" s="68"/>
      <c r="AT957" s="68"/>
      <c r="AU957" s="68"/>
      <c r="AV957" s="68"/>
      <c r="AW957" s="68"/>
      <c r="AX957" s="68"/>
      <c r="AY957" s="68"/>
      <c r="AZ957" s="68"/>
      <c r="BA957" s="68"/>
      <c r="BB957" s="68"/>
      <c r="BC957" s="68"/>
      <c r="BD957" s="68"/>
      <c r="BE957" s="68"/>
      <c r="BF957" s="68"/>
      <c r="BG957" s="68"/>
      <c r="BH957" s="68"/>
      <c r="BI957" s="68"/>
      <c r="BJ957" s="68"/>
      <c r="BK957" s="68"/>
      <c r="BL957" s="68"/>
      <c r="BM957" s="68"/>
      <c r="BN957" s="68"/>
      <c r="BO957" s="68"/>
      <c r="BP957" s="68"/>
      <c r="BQ957" s="68"/>
      <c r="BR957" s="68"/>
      <c r="BS957" s="68"/>
      <c r="BT957" s="68"/>
      <c r="BU957" s="68"/>
      <c r="BV957" s="68"/>
      <c r="BW957" s="68"/>
      <c r="BX957" s="68"/>
      <c r="BY957" s="68"/>
      <c r="BZ957" s="68"/>
      <c r="CA957" s="68"/>
      <c r="CB957" s="68"/>
      <c r="CC957" s="68"/>
    </row>
    <row r="958" spans="1:81" ht="15.75" x14ac:dyDescent="0.25">
      <c r="A958" s="68"/>
      <c r="B958" s="68"/>
      <c r="C958" s="68"/>
      <c r="D958" s="69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  <c r="AI958" s="68"/>
      <c r="AJ958" s="68"/>
      <c r="AK958" s="68"/>
      <c r="AL958" s="68"/>
      <c r="AM958" s="68"/>
      <c r="AN958" s="68"/>
      <c r="AO958" s="68"/>
      <c r="AP958" s="68"/>
      <c r="AQ958" s="68"/>
      <c r="AR958" s="68"/>
      <c r="AS958" s="68"/>
      <c r="AT958" s="68"/>
      <c r="AU958" s="68"/>
      <c r="AV958" s="68"/>
      <c r="AW958" s="68"/>
      <c r="AX958" s="68"/>
      <c r="AY958" s="68"/>
      <c r="AZ958" s="68"/>
      <c r="BA958" s="68"/>
      <c r="BB958" s="68"/>
      <c r="BC958" s="68"/>
      <c r="BD958" s="68"/>
      <c r="BE958" s="68"/>
      <c r="BF958" s="68"/>
      <c r="BG958" s="68"/>
      <c r="BH958" s="68"/>
      <c r="BI958" s="68"/>
      <c r="BJ958" s="68"/>
      <c r="BK958" s="68"/>
      <c r="BL958" s="68"/>
      <c r="BM958" s="68"/>
      <c r="BN958" s="68"/>
      <c r="BO958" s="68"/>
      <c r="BP958" s="68"/>
      <c r="BQ958" s="68"/>
      <c r="BR958" s="68"/>
      <c r="BS958" s="68"/>
      <c r="BT958" s="68"/>
      <c r="BU958" s="68"/>
      <c r="BV958" s="68"/>
      <c r="BW958" s="68"/>
      <c r="BX958" s="68"/>
      <c r="BY958" s="68"/>
      <c r="BZ958" s="68"/>
      <c r="CA958" s="68"/>
      <c r="CB958" s="68"/>
      <c r="CC958" s="68"/>
    </row>
    <row r="959" spans="1:81" ht="15.75" x14ac:dyDescent="0.25">
      <c r="A959" s="68"/>
      <c r="B959" s="68"/>
      <c r="C959" s="68"/>
      <c r="D959" s="69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  <c r="AI959" s="68"/>
      <c r="AJ959" s="68"/>
      <c r="AK959" s="68"/>
      <c r="AL959" s="68"/>
      <c r="AM959" s="68"/>
      <c r="AN959" s="68"/>
      <c r="AO959" s="68"/>
      <c r="AP959" s="68"/>
      <c r="AQ959" s="68"/>
      <c r="AR959" s="68"/>
      <c r="AS959" s="68"/>
      <c r="AT959" s="68"/>
      <c r="AU959" s="68"/>
      <c r="AV959" s="68"/>
      <c r="AW959" s="68"/>
      <c r="AX959" s="68"/>
      <c r="AY959" s="68"/>
      <c r="AZ959" s="68"/>
      <c r="BA959" s="68"/>
      <c r="BB959" s="68"/>
      <c r="BC959" s="68"/>
      <c r="BD959" s="68"/>
      <c r="BE959" s="68"/>
      <c r="BF959" s="68"/>
      <c r="BG959" s="68"/>
      <c r="BH959" s="68"/>
      <c r="BI959" s="68"/>
      <c r="BJ959" s="68"/>
      <c r="BK959" s="68"/>
      <c r="BL959" s="68"/>
      <c r="BM959" s="68"/>
      <c r="BN959" s="68"/>
      <c r="BO959" s="68"/>
      <c r="BP959" s="68"/>
      <c r="BQ959" s="68"/>
      <c r="BR959" s="68"/>
      <c r="BS959" s="68"/>
      <c r="BT959" s="68"/>
      <c r="BU959" s="68"/>
      <c r="BV959" s="68"/>
      <c r="BW959" s="68"/>
      <c r="BX959" s="68"/>
      <c r="BY959" s="68"/>
      <c r="BZ959" s="68"/>
      <c r="CA959" s="68"/>
      <c r="CB959" s="68"/>
      <c r="CC959" s="68"/>
    </row>
    <row r="960" spans="1:81" ht="15.75" x14ac:dyDescent="0.25">
      <c r="A960" s="68"/>
      <c r="B960" s="68"/>
      <c r="C960" s="68"/>
      <c r="D960" s="69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8"/>
      <c r="T960" s="68"/>
      <c r="U960" s="68"/>
      <c r="V960" s="68"/>
      <c r="W960" s="68"/>
      <c r="X960" s="68"/>
      <c r="Y960" s="68"/>
      <c r="Z960" s="68"/>
      <c r="AA960" s="68"/>
      <c r="AB960" s="68"/>
      <c r="AC960" s="68"/>
      <c r="AD960" s="68"/>
      <c r="AE960" s="68"/>
      <c r="AF960" s="68"/>
      <c r="AG960" s="68"/>
      <c r="AH960" s="68"/>
      <c r="AI960" s="68"/>
      <c r="AJ960" s="68"/>
      <c r="AK960" s="68"/>
      <c r="AL960" s="68"/>
      <c r="AM960" s="68"/>
      <c r="AN960" s="68"/>
      <c r="AO960" s="68"/>
      <c r="AP960" s="68"/>
      <c r="AQ960" s="68"/>
      <c r="AR960" s="68"/>
      <c r="AS960" s="68"/>
      <c r="AT960" s="68"/>
      <c r="AU960" s="68"/>
      <c r="AV960" s="68"/>
      <c r="AW960" s="68"/>
      <c r="AX960" s="68"/>
      <c r="AY960" s="68"/>
      <c r="AZ960" s="68"/>
      <c r="BA960" s="68"/>
      <c r="BB960" s="68"/>
      <c r="BC960" s="68"/>
      <c r="BD960" s="68"/>
      <c r="BE960" s="68"/>
      <c r="BF960" s="68"/>
      <c r="BG960" s="68"/>
      <c r="BH960" s="68"/>
      <c r="BI960" s="68"/>
      <c r="BJ960" s="68"/>
      <c r="BK960" s="68"/>
      <c r="BL960" s="68"/>
      <c r="BM960" s="68"/>
      <c r="BN960" s="68"/>
      <c r="BO960" s="68"/>
      <c r="BP960" s="68"/>
      <c r="BQ960" s="68"/>
      <c r="BR960" s="68"/>
      <c r="BS960" s="68"/>
      <c r="BT960" s="68"/>
      <c r="BU960" s="68"/>
      <c r="BV960" s="68"/>
      <c r="BW960" s="68"/>
      <c r="BX960" s="68"/>
      <c r="BY960" s="68"/>
      <c r="BZ960" s="68"/>
      <c r="CA960" s="68"/>
      <c r="CB960" s="68"/>
      <c r="CC960" s="68"/>
    </row>
    <row r="961" spans="1:81" ht="15.75" x14ac:dyDescent="0.25">
      <c r="A961" s="68"/>
      <c r="B961" s="68"/>
      <c r="C961" s="68"/>
      <c r="D961" s="69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8"/>
      <c r="T961" s="68"/>
      <c r="U961" s="68"/>
      <c r="V961" s="68"/>
      <c r="W961" s="68"/>
      <c r="X961" s="68"/>
      <c r="Y961" s="68"/>
      <c r="Z961" s="68"/>
      <c r="AA961" s="68"/>
      <c r="AB961" s="68"/>
      <c r="AC961" s="68"/>
      <c r="AD961" s="68"/>
      <c r="AE961" s="68"/>
      <c r="AF961" s="68"/>
      <c r="AG961" s="68"/>
      <c r="AH961" s="68"/>
      <c r="AI961" s="68"/>
      <c r="AJ961" s="68"/>
      <c r="AK961" s="68"/>
      <c r="AL961" s="68"/>
      <c r="AM961" s="68"/>
      <c r="AN961" s="68"/>
      <c r="AO961" s="68"/>
      <c r="AP961" s="68"/>
      <c r="AQ961" s="68"/>
      <c r="AR961" s="68"/>
      <c r="AS961" s="68"/>
      <c r="AT961" s="68"/>
      <c r="AU961" s="68"/>
      <c r="AV961" s="68"/>
      <c r="AW961" s="68"/>
      <c r="AX961" s="68"/>
      <c r="AY961" s="68"/>
      <c r="AZ961" s="68"/>
      <c r="BA961" s="68"/>
      <c r="BB961" s="68"/>
      <c r="BC961" s="68"/>
      <c r="BD961" s="68"/>
      <c r="BE961" s="68"/>
      <c r="BF961" s="68"/>
      <c r="BG961" s="68"/>
      <c r="BH961" s="68"/>
      <c r="BI961" s="68"/>
      <c r="BJ961" s="68"/>
      <c r="BK961" s="68"/>
      <c r="BL961" s="68"/>
      <c r="BM961" s="68"/>
      <c r="BN961" s="68"/>
      <c r="BO961" s="68"/>
      <c r="BP961" s="68"/>
      <c r="BQ961" s="68"/>
      <c r="BR961" s="68"/>
      <c r="BS961" s="68"/>
      <c r="BT961" s="68"/>
      <c r="BU961" s="68"/>
      <c r="BV961" s="68"/>
      <c r="BW961" s="68"/>
      <c r="BX961" s="68"/>
      <c r="BY961" s="68"/>
      <c r="BZ961" s="68"/>
      <c r="CA961" s="68"/>
      <c r="CB961" s="68"/>
      <c r="CC961" s="68"/>
    </row>
    <row r="962" spans="1:81" ht="15.75" x14ac:dyDescent="0.25">
      <c r="A962" s="68"/>
      <c r="B962" s="68"/>
      <c r="C962" s="68"/>
      <c r="D962" s="69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8"/>
      <c r="T962" s="68"/>
      <c r="U962" s="68"/>
      <c r="V962" s="68"/>
      <c r="W962" s="68"/>
      <c r="X962" s="68"/>
      <c r="Y962" s="68"/>
      <c r="Z962" s="68"/>
      <c r="AA962" s="68"/>
      <c r="AB962" s="68"/>
      <c r="AC962" s="68"/>
      <c r="AD962" s="68"/>
      <c r="AE962" s="68"/>
      <c r="AF962" s="68"/>
      <c r="AG962" s="68"/>
      <c r="AH962" s="68"/>
      <c r="AI962" s="68"/>
      <c r="AJ962" s="68"/>
      <c r="AK962" s="68"/>
      <c r="AL962" s="68"/>
      <c r="AM962" s="68"/>
      <c r="AN962" s="68"/>
      <c r="AO962" s="68"/>
      <c r="AP962" s="68"/>
      <c r="AQ962" s="68"/>
      <c r="AR962" s="68"/>
      <c r="AS962" s="68"/>
      <c r="AT962" s="68"/>
      <c r="AU962" s="68"/>
      <c r="AV962" s="68"/>
      <c r="AW962" s="68"/>
      <c r="AX962" s="68"/>
      <c r="AY962" s="68"/>
      <c r="AZ962" s="68"/>
      <c r="BA962" s="68"/>
      <c r="BB962" s="68"/>
      <c r="BC962" s="68"/>
      <c r="BD962" s="68"/>
      <c r="BE962" s="68"/>
      <c r="BF962" s="68"/>
      <c r="BG962" s="68"/>
      <c r="BH962" s="68"/>
      <c r="BI962" s="68"/>
      <c r="BJ962" s="68"/>
      <c r="BK962" s="68"/>
      <c r="BL962" s="68"/>
      <c r="BM962" s="68"/>
      <c r="BN962" s="68"/>
      <c r="BO962" s="68"/>
      <c r="BP962" s="68"/>
      <c r="BQ962" s="68"/>
      <c r="BR962" s="68"/>
      <c r="BS962" s="68"/>
      <c r="BT962" s="68"/>
      <c r="BU962" s="68"/>
      <c r="BV962" s="68"/>
      <c r="BW962" s="68"/>
      <c r="BX962" s="68"/>
      <c r="BY962" s="68"/>
      <c r="BZ962" s="68"/>
      <c r="CA962" s="68"/>
      <c r="CB962" s="68"/>
      <c r="CC962" s="68"/>
    </row>
    <row r="963" spans="1:81" ht="15.75" x14ac:dyDescent="0.25">
      <c r="A963" s="68"/>
      <c r="B963" s="68"/>
      <c r="C963" s="68"/>
      <c r="D963" s="69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8"/>
      <c r="T963" s="68"/>
      <c r="U963" s="68"/>
      <c r="V963" s="68"/>
      <c r="W963" s="68"/>
      <c r="X963" s="68"/>
      <c r="Y963" s="68"/>
      <c r="Z963" s="68"/>
      <c r="AA963" s="68"/>
      <c r="AB963" s="68"/>
      <c r="AC963" s="68"/>
      <c r="AD963" s="68"/>
      <c r="AE963" s="68"/>
      <c r="AF963" s="68"/>
      <c r="AG963" s="68"/>
      <c r="AH963" s="68"/>
      <c r="AI963" s="68"/>
      <c r="AJ963" s="68"/>
      <c r="AK963" s="68"/>
      <c r="AL963" s="68"/>
      <c r="AM963" s="68"/>
      <c r="AN963" s="68"/>
      <c r="AO963" s="68"/>
      <c r="AP963" s="68"/>
      <c r="AQ963" s="68"/>
      <c r="AR963" s="68"/>
      <c r="AS963" s="68"/>
      <c r="AT963" s="68"/>
      <c r="AU963" s="68"/>
      <c r="AV963" s="68"/>
      <c r="AW963" s="68"/>
      <c r="AX963" s="68"/>
      <c r="AY963" s="68"/>
      <c r="AZ963" s="68"/>
      <c r="BA963" s="68"/>
      <c r="BB963" s="68"/>
      <c r="BC963" s="68"/>
      <c r="BD963" s="68"/>
      <c r="BE963" s="68"/>
      <c r="BF963" s="68"/>
      <c r="BG963" s="68"/>
      <c r="BH963" s="68"/>
      <c r="BI963" s="68"/>
      <c r="BJ963" s="68"/>
      <c r="BK963" s="68"/>
      <c r="BL963" s="68"/>
      <c r="BM963" s="68"/>
      <c r="BN963" s="68"/>
      <c r="BO963" s="68"/>
      <c r="BP963" s="68"/>
      <c r="BQ963" s="68"/>
      <c r="BR963" s="68"/>
      <c r="BS963" s="68"/>
      <c r="BT963" s="68"/>
      <c r="BU963" s="68"/>
      <c r="BV963" s="68"/>
      <c r="BW963" s="68"/>
      <c r="BX963" s="68"/>
      <c r="BY963" s="68"/>
      <c r="BZ963" s="68"/>
      <c r="CA963" s="68"/>
      <c r="CB963" s="68"/>
      <c r="CC963" s="68"/>
    </row>
    <row r="964" spans="1:81" ht="15.75" x14ac:dyDescent="0.25">
      <c r="A964" s="68"/>
      <c r="B964" s="68"/>
      <c r="C964" s="68"/>
      <c r="D964" s="69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8"/>
      <c r="T964" s="68"/>
      <c r="U964" s="68"/>
      <c r="V964" s="68"/>
      <c r="W964" s="68"/>
      <c r="X964" s="68"/>
      <c r="Y964" s="68"/>
      <c r="Z964" s="68"/>
      <c r="AA964" s="68"/>
      <c r="AB964" s="68"/>
      <c r="AC964" s="68"/>
      <c r="AD964" s="68"/>
      <c r="AE964" s="68"/>
      <c r="AF964" s="68"/>
      <c r="AG964" s="68"/>
      <c r="AH964" s="68"/>
      <c r="AI964" s="68"/>
      <c r="AJ964" s="68"/>
      <c r="AK964" s="68"/>
      <c r="AL964" s="68"/>
      <c r="AM964" s="68"/>
      <c r="AN964" s="68"/>
      <c r="AO964" s="68"/>
      <c r="AP964" s="68"/>
      <c r="AQ964" s="68"/>
      <c r="AR964" s="68"/>
      <c r="AS964" s="68"/>
      <c r="AT964" s="68"/>
      <c r="AU964" s="68"/>
      <c r="AV964" s="68"/>
      <c r="AW964" s="68"/>
      <c r="AX964" s="68"/>
      <c r="AY964" s="68"/>
      <c r="AZ964" s="68"/>
      <c r="BA964" s="68"/>
      <c r="BB964" s="68"/>
      <c r="BC964" s="68"/>
      <c r="BD964" s="68"/>
      <c r="BE964" s="68"/>
      <c r="BF964" s="68"/>
      <c r="BG964" s="68"/>
      <c r="BH964" s="68"/>
      <c r="BI964" s="68"/>
      <c r="BJ964" s="68"/>
      <c r="BK964" s="68"/>
      <c r="BL964" s="68"/>
      <c r="BM964" s="68"/>
      <c r="BN964" s="68"/>
      <c r="BO964" s="68"/>
      <c r="BP964" s="68"/>
      <c r="BQ964" s="68"/>
      <c r="BR964" s="68"/>
      <c r="BS964" s="68"/>
      <c r="BT964" s="68"/>
      <c r="BU964" s="68"/>
      <c r="BV964" s="68"/>
      <c r="BW964" s="68"/>
      <c r="BX964" s="68"/>
      <c r="BY964" s="68"/>
      <c r="BZ964" s="68"/>
      <c r="CA964" s="68"/>
      <c r="CB964" s="68"/>
      <c r="CC964" s="68"/>
    </row>
    <row r="965" spans="1:81" ht="15.75" x14ac:dyDescent="0.25">
      <c r="A965" s="68"/>
      <c r="B965" s="68"/>
      <c r="C965" s="68"/>
      <c r="D965" s="69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  <c r="AF965" s="68"/>
      <c r="AG965" s="68"/>
      <c r="AH965" s="68"/>
      <c r="AI965" s="68"/>
      <c r="AJ965" s="68"/>
      <c r="AK965" s="68"/>
      <c r="AL965" s="68"/>
      <c r="AM965" s="68"/>
      <c r="AN965" s="68"/>
      <c r="AO965" s="68"/>
      <c r="AP965" s="68"/>
      <c r="AQ965" s="68"/>
      <c r="AR965" s="68"/>
      <c r="AS965" s="68"/>
      <c r="AT965" s="68"/>
      <c r="AU965" s="68"/>
      <c r="AV965" s="68"/>
      <c r="AW965" s="68"/>
      <c r="AX965" s="68"/>
      <c r="AY965" s="68"/>
      <c r="AZ965" s="68"/>
      <c r="BA965" s="68"/>
      <c r="BB965" s="68"/>
      <c r="BC965" s="68"/>
      <c r="BD965" s="68"/>
      <c r="BE965" s="68"/>
      <c r="BF965" s="68"/>
      <c r="BG965" s="68"/>
      <c r="BH965" s="68"/>
      <c r="BI965" s="68"/>
      <c r="BJ965" s="68"/>
      <c r="BK965" s="68"/>
      <c r="BL965" s="68"/>
      <c r="BM965" s="68"/>
      <c r="BN965" s="68"/>
      <c r="BO965" s="68"/>
      <c r="BP965" s="68"/>
      <c r="BQ965" s="68"/>
      <c r="BR965" s="68"/>
      <c r="BS965" s="68"/>
      <c r="BT965" s="68"/>
      <c r="BU965" s="68"/>
      <c r="BV965" s="68"/>
      <c r="BW965" s="68"/>
      <c r="BX965" s="68"/>
      <c r="BY965" s="68"/>
      <c r="BZ965" s="68"/>
      <c r="CA965" s="68"/>
      <c r="CB965" s="68"/>
      <c r="CC965" s="68"/>
    </row>
    <row r="966" spans="1:81" ht="15.75" x14ac:dyDescent="0.25">
      <c r="A966" s="68"/>
      <c r="B966" s="68"/>
      <c r="C966" s="68"/>
      <c r="D966" s="69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  <c r="AH966" s="68"/>
      <c r="AI966" s="68"/>
      <c r="AJ966" s="68"/>
      <c r="AK966" s="68"/>
      <c r="AL966" s="68"/>
      <c r="AM966" s="68"/>
      <c r="AN966" s="68"/>
      <c r="AO966" s="68"/>
      <c r="AP966" s="68"/>
      <c r="AQ966" s="68"/>
      <c r="AR966" s="68"/>
      <c r="AS966" s="68"/>
      <c r="AT966" s="68"/>
      <c r="AU966" s="68"/>
      <c r="AV966" s="68"/>
      <c r="AW966" s="68"/>
      <c r="AX966" s="68"/>
      <c r="AY966" s="68"/>
      <c r="AZ966" s="68"/>
      <c r="BA966" s="68"/>
      <c r="BB966" s="68"/>
      <c r="BC966" s="68"/>
      <c r="BD966" s="68"/>
      <c r="BE966" s="68"/>
      <c r="BF966" s="68"/>
      <c r="BG966" s="68"/>
      <c r="BH966" s="68"/>
      <c r="BI966" s="68"/>
      <c r="BJ966" s="68"/>
      <c r="BK966" s="68"/>
      <c r="BL966" s="68"/>
      <c r="BM966" s="68"/>
      <c r="BN966" s="68"/>
      <c r="BO966" s="68"/>
      <c r="BP966" s="68"/>
      <c r="BQ966" s="68"/>
      <c r="BR966" s="68"/>
      <c r="BS966" s="68"/>
      <c r="BT966" s="68"/>
      <c r="BU966" s="68"/>
      <c r="BV966" s="68"/>
      <c r="BW966" s="68"/>
      <c r="BX966" s="68"/>
      <c r="BY966" s="68"/>
      <c r="BZ966" s="68"/>
      <c r="CA966" s="68"/>
      <c r="CB966" s="68"/>
      <c r="CC966" s="68"/>
    </row>
    <row r="967" spans="1:81" ht="15.75" x14ac:dyDescent="0.25">
      <c r="A967" s="68"/>
      <c r="B967" s="68"/>
      <c r="C967" s="68"/>
      <c r="D967" s="69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  <c r="AD967" s="68"/>
      <c r="AE967" s="68"/>
      <c r="AF967" s="68"/>
      <c r="AG967" s="68"/>
      <c r="AH967" s="68"/>
      <c r="AI967" s="68"/>
      <c r="AJ967" s="68"/>
      <c r="AK967" s="68"/>
      <c r="AL967" s="68"/>
      <c r="AM967" s="68"/>
      <c r="AN967" s="68"/>
      <c r="AO967" s="68"/>
      <c r="AP967" s="68"/>
      <c r="AQ967" s="68"/>
      <c r="AR967" s="68"/>
      <c r="AS967" s="68"/>
      <c r="AT967" s="68"/>
      <c r="AU967" s="68"/>
      <c r="AV967" s="68"/>
      <c r="AW967" s="68"/>
      <c r="AX967" s="68"/>
      <c r="AY967" s="68"/>
      <c r="AZ967" s="68"/>
      <c r="BA967" s="68"/>
      <c r="BB967" s="68"/>
      <c r="BC967" s="68"/>
      <c r="BD967" s="68"/>
      <c r="BE967" s="68"/>
      <c r="BF967" s="68"/>
      <c r="BG967" s="68"/>
      <c r="BH967" s="68"/>
      <c r="BI967" s="68"/>
      <c r="BJ967" s="68"/>
      <c r="BK967" s="68"/>
      <c r="BL967" s="68"/>
      <c r="BM967" s="68"/>
      <c r="BN967" s="68"/>
      <c r="BO967" s="68"/>
      <c r="BP967" s="68"/>
      <c r="BQ967" s="68"/>
      <c r="BR967" s="68"/>
      <c r="BS967" s="68"/>
      <c r="BT967" s="68"/>
      <c r="BU967" s="68"/>
      <c r="BV967" s="68"/>
      <c r="BW967" s="68"/>
      <c r="BX967" s="68"/>
      <c r="BY967" s="68"/>
      <c r="BZ967" s="68"/>
      <c r="CA967" s="68"/>
      <c r="CB967" s="68"/>
      <c r="CC967" s="68"/>
    </row>
    <row r="968" spans="1:81" ht="15.75" x14ac:dyDescent="0.25">
      <c r="A968" s="68"/>
      <c r="B968" s="68"/>
      <c r="C968" s="68"/>
      <c r="D968" s="69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  <c r="AF968" s="68"/>
      <c r="AG968" s="68"/>
      <c r="AH968" s="68"/>
      <c r="AI968" s="68"/>
      <c r="AJ968" s="68"/>
      <c r="AK968" s="68"/>
      <c r="AL968" s="68"/>
      <c r="AM968" s="68"/>
      <c r="AN968" s="68"/>
      <c r="AO968" s="68"/>
      <c r="AP968" s="68"/>
      <c r="AQ968" s="68"/>
      <c r="AR968" s="68"/>
      <c r="AS968" s="68"/>
      <c r="AT968" s="68"/>
      <c r="AU968" s="68"/>
      <c r="AV968" s="68"/>
      <c r="AW968" s="68"/>
      <c r="AX968" s="68"/>
      <c r="AY968" s="68"/>
      <c r="AZ968" s="68"/>
      <c r="BA968" s="68"/>
      <c r="BB968" s="68"/>
      <c r="BC968" s="68"/>
      <c r="BD968" s="68"/>
      <c r="BE968" s="68"/>
      <c r="BF968" s="68"/>
      <c r="BG968" s="68"/>
      <c r="BH968" s="68"/>
      <c r="BI968" s="68"/>
      <c r="BJ968" s="68"/>
      <c r="BK968" s="68"/>
      <c r="BL968" s="68"/>
      <c r="BM968" s="68"/>
      <c r="BN968" s="68"/>
      <c r="BO968" s="68"/>
      <c r="BP968" s="68"/>
      <c r="BQ968" s="68"/>
      <c r="BR968" s="68"/>
      <c r="BS968" s="68"/>
      <c r="BT968" s="68"/>
      <c r="BU968" s="68"/>
      <c r="BV968" s="68"/>
      <c r="BW968" s="68"/>
      <c r="BX968" s="68"/>
      <c r="BY968" s="68"/>
      <c r="BZ968" s="68"/>
      <c r="CA968" s="68"/>
      <c r="CB968" s="68"/>
      <c r="CC968" s="68"/>
    </row>
    <row r="969" spans="1:81" ht="15.75" x14ac:dyDescent="0.25">
      <c r="A969" s="68"/>
      <c r="B969" s="68"/>
      <c r="C969" s="68"/>
      <c r="D969" s="69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  <c r="AD969" s="68"/>
      <c r="AE969" s="68"/>
      <c r="AF969" s="68"/>
      <c r="AG969" s="68"/>
      <c r="AH969" s="68"/>
      <c r="AI969" s="68"/>
      <c r="AJ969" s="68"/>
      <c r="AK969" s="68"/>
      <c r="AL969" s="68"/>
      <c r="AM969" s="68"/>
      <c r="AN969" s="68"/>
      <c r="AO969" s="68"/>
      <c r="AP969" s="68"/>
      <c r="AQ969" s="68"/>
      <c r="AR969" s="68"/>
      <c r="AS969" s="68"/>
      <c r="AT969" s="68"/>
      <c r="AU969" s="68"/>
      <c r="AV969" s="68"/>
      <c r="AW969" s="68"/>
      <c r="AX969" s="68"/>
      <c r="AY969" s="68"/>
      <c r="AZ969" s="68"/>
      <c r="BA969" s="68"/>
      <c r="BB969" s="68"/>
      <c r="BC969" s="68"/>
      <c r="BD969" s="68"/>
      <c r="BE969" s="68"/>
      <c r="BF969" s="68"/>
      <c r="BG969" s="68"/>
      <c r="BH969" s="68"/>
      <c r="BI969" s="68"/>
      <c r="BJ969" s="68"/>
      <c r="BK969" s="68"/>
      <c r="BL969" s="68"/>
      <c r="BM969" s="68"/>
      <c r="BN969" s="68"/>
      <c r="BO969" s="68"/>
      <c r="BP969" s="68"/>
      <c r="BQ969" s="68"/>
      <c r="BR969" s="68"/>
      <c r="BS969" s="68"/>
      <c r="BT969" s="68"/>
      <c r="BU969" s="68"/>
      <c r="BV969" s="68"/>
      <c r="BW969" s="68"/>
      <c r="BX969" s="68"/>
      <c r="BY969" s="68"/>
      <c r="BZ969" s="68"/>
      <c r="CA969" s="68"/>
      <c r="CB969" s="68"/>
      <c r="CC969" s="68"/>
    </row>
    <row r="970" spans="1:81" ht="15.75" x14ac:dyDescent="0.25">
      <c r="A970" s="68"/>
      <c r="B970" s="68"/>
      <c r="C970" s="68"/>
      <c r="D970" s="69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  <c r="AH970" s="68"/>
      <c r="AI970" s="68"/>
      <c r="AJ970" s="68"/>
      <c r="AK970" s="68"/>
      <c r="AL970" s="68"/>
      <c r="AM970" s="68"/>
      <c r="AN970" s="68"/>
      <c r="AO970" s="68"/>
      <c r="AP970" s="68"/>
      <c r="AQ970" s="68"/>
      <c r="AR970" s="68"/>
      <c r="AS970" s="68"/>
      <c r="AT970" s="68"/>
      <c r="AU970" s="68"/>
      <c r="AV970" s="68"/>
      <c r="AW970" s="68"/>
      <c r="AX970" s="68"/>
      <c r="AY970" s="68"/>
      <c r="AZ970" s="68"/>
      <c r="BA970" s="68"/>
      <c r="BB970" s="68"/>
      <c r="BC970" s="68"/>
      <c r="BD970" s="68"/>
      <c r="BE970" s="68"/>
      <c r="BF970" s="68"/>
      <c r="BG970" s="68"/>
      <c r="BH970" s="68"/>
      <c r="BI970" s="68"/>
      <c r="BJ970" s="68"/>
      <c r="BK970" s="68"/>
      <c r="BL970" s="68"/>
      <c r="BM970" s="68"/>
      <c r="BN970" s="68"/>
      <c r="BO970" s="68"/>
      <c r="BP970" s="68"/>
      <c r="BQ970" s="68"/>
      <c r="BR970" s="68"/>
      <c r="BS970" s="68"/>
      <c r="BT970" s="68"/>
      <c r="BU970" s="68"/>
      <c r="BV970" s="68"/>
      <c r="BW970" s="68"/>
      <c r="BX970" s="68"/>
      <c r="BY970" s="68"/>
      <c r="BZ970" s="68"/>
      <c r="CA970" s="68"/>
      <c r="CB970" s="68"/>
      <c r="CC970" s="68"/>
    </row>
    <row r="971" spans="1:81" ht="15.75" x14ac:dyDescent="0.25">
      <c r="A971" s="68"/>
      <c r="B971" s="68"/>
      <c r="C971" s="68"/>
      <c r="D971" s="69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  <c r="AD971" s="68"/>
      <c r="AE971" s="68"/>
      <c r="AF971" s="68"/>
      <c r="AG971" s="68"/>
      <c r="AH971" s="68"/>
      <c r="AI971" s="68"/>
      <c r="AJ971" s="68"/>
      <c r="AK971" s="68"/>
      <c r="AL971" s="68"/>
      <c r="AM971" s="68"/>
      <c r="AN971" s="68"/>
      <c r="AO971" s="68"/>
      <c r="AP971" s="68"/>
      <c r="AQ971" s="68"/>
      <c r="AR971" s="68"/>
      <c r="AS971" s="68"/>
      <c r="AT971" s="68"/>
      <c r="AU971" s="68"/>
      <c r="AV971" s="68"/>
      <c r="AW971" s="68"/>
      <c r="AX971" s="68"/>
      <c r="AY971" s="68"/>
      <c r="AZ971" s="68"/>
      <c r="BA971" s="68"/>
      <c r="BB971" s="68"/>
      <c r="BC971" s="68"/>
      <c r="BD971" s="68"/>
      <c r="BE971" s="68"/>
      <c r="BF971" s="68"/>
      <c r="BG971" s="68"/>
      <c r="BH971" s="68"/>
      <c r="BI971" s="68"/>
      <c r="BJ971" s="68"/>
      <c r="BK971" s="68"/>
      <c r="BL971" s="68"/>
      <c r="BM971" s="68"/>
      <c r="BN971" s="68"/>
      <c r="BO971" s="68"/>
      <c r="BP971" s="68"/>
      <c r="BQ971" s="68"/>
      <c r="BR971" s="68"/>
      <c r="BS971" s="68"/>
      <c r="BT971" s="68"/>
      <c r="BU971" s="68"/>
      <c r="BV971" s="68"/>
      <c r="BW971" s="68"/>
      <c r="BX971" s="68"/>
      <c r="BY971" s="68"/>
      <c r="BZ971" s="68"/>
      <c r="CA971" s="68"/>
      <c r="CB971" s="68"/>
      <c r="CC971" s="68"/>
    </row>
    <row r="972" spans="1:81" ht="15.75" x14ac:dyDescent="0.25">
      <c r="A972" s="68"/>
      <c r="B972" s="68"/>
      <c r="C972" s="68"/>
      <c r="D972" s="69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  <c r="AD972" s="68"/>
      <c r="AE972" s="68"/>
      <c r="AF972" s="68"/>
      <c r="AG972" s="68"/>
      <c r="AH972" s="68"/>
      <c r="AI972" s="68"/>
      <c r="AJ972" s="68"/>
      <c r="AK972" s="68"/>
      <c r="AL972" s="68"/>
      <c r="AM972" s="68"/>
      <c r="AN972" s="68"/>
      <c r="AO972" s="68"/>
      <c r="AP972" s="68"/>
      <c r="AQ972" s="68"/>
      <c r="AR972" s="68"/>
      <c r="AS972" s="68"/>
      <c r="AT972" s="68"/>
      <c r="AU972" s="68"/>
      <c r="AV972" s="68"/>
      <c r="AW972" s="68"/>
      <c r="AX972" s="68"/>
      <c r="AY972" s="68"/>
      <c r="AZ972" s="68"/>
      <c r="BA972" s="68"/>
      <c r="BB972" s="68"/>
      <c r="BC972" s="68"/>
      <c r="BD972" s="68"/>
      <c r="BE972" s="68"/>
      <c r="BF972" s="68"/>
      <c r="BG972" s="68"/>
      <c r="BH972" s="68"/>
      <c r="BI972" s="68"/>
      <c r="BJ972" s="68"/>
      <c r="BK972" s="68"/>
      <c r="BL972" s="68"/>
      <c r="BM972" s="68"/>
      <c r="BN972" s="68"/>
      <c r="BO972" s="68"/>
      <c r="BP972" s="68"/>
      <c r="BQ972" s="68"/>
      <c r="BR972" s="68"/>
      <c r="BS972" s="68"/>
      <c r="BT972" s="68"/>
      <c r="BU972" s="68"/>
      <c r="BV972" s="68"/>
      <c r="BW972" s="68"/>
      <c r="BX972" s="68"/>
      <c r="BY972" s="68"/>
      <c r="BZ972" s="68"/>
      <c r="CA972" s="68"/>
      <c r="CB972" s="68"/>
      <c r="CC972" s="68"/>
    </row>
    <row r="973" spans="1:81" ht="15.75" x14ac:dyDescent="0.25">
      <c r="A973" s="68"/>
      <c r="B973" s="68"/>
      <c r="C973" s="68"/>
      <c r="D973" s="69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  <c r="AD973" s="68"/>
      <c r="AE973" s="68"/>
      <c r="AF973" s="68"/>
      <c r="AG973" s="68"/>
      <c r="AH973" s="68"/>
      <c r="AI973" s="68"/>
      <c r="AJ973" s="68"/>
      <c r="AK973" s="68"/>
      <c r="AL973" s="68"/>
      <c r="AM973" s="68"/>
      <c r="AN973" s="68"/>
      <c r="AO973" s="68"/>
      <c r="AP973" s="68"/>
      <c r="AQ973" s="68"/>
      <c r="AR973" s="68"/>
      <c r="AS973" s="68"/>
      <c r="AT973" s="68"/>
      <c r="AU973" s="68"/>
      <c r="AV973" s="68"/>
      <c r="AW973" s="68"/>
      <c r="AX973" s="68"/>
      <c r="AY973" s="68"/>
      <c r="AZ973" s="68"/>
      <c r="BA973" s="68"/>
      <c r="BB973" s="68"/>
      <c r="BC973" s="68"/>
      <c r="BD973" s="68"/>
      <c r="BE973" s="68"/>
      <c r="BF973" s="68"/>
      <c r="BG973" s="68"/>
      <c r="BH973" s="68"/>
      <c r="BI973" s="68"/>
      <c r="BJ973" s="68"/>
      <c r="BK973" s="68"/>
      <c r="BL973" s="68"/>
      <c r="BM973" s="68"/>
      <c r="BN973" s="68"/>
      <c r="BO973" s="68"/>
      <c r="BP973" s="68"/>
      <c r="BQ973" s="68"/>
      <c r="BR973" s="68"/>
      <c r="BS973" s="68"/>
      <c r="BT973" s="68"/>
      <c r="BU973" s="68"/>
      <c r="BV973" s="68"/>
      <c r="BW973" s="68"/>
      <c r="BX973" s="68"/>
      <c r="BY973" s="68"/>
      <c r="BZ973" s="68"/>
      <c r="CA973" s="68"/>
      <c r="CB973" s="68"/>
      <c r="CC973" s="68"/>
    </row>
    <row r="974" spans="1:81" ht="15.75" x14ac:dyDescent="0.25">
      <c r="A974" s="68"/>
      <c r="B974" s="68"/>
      <c r="C974" s="68"/>
      <c r="D974" s="69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  <c r="AC974" s="68"/>
      <c r="AD974" s="68"/>
      <c r="AE974" s="68"/>
      <c r="AF974" s="68"/>
      <c r="AG974" s="68"/>
      <c r="AH974" s="68"/>
      <c r="AI974" s="68"/>
      <c r="AJ974" s="68"/>
      <c r="AK974" s="68"/>
      <c r="AL974" s="68"/>
      <c r="AM974" s="68"/>
      <c r="AN974" s="68"/>
      <c r="AO974" s="68"/>
      <c r="AP974" s="68"/>
      <c r="AQ974" s="68"/>
      <c r="AR974" s="68"/>
      <c r="AS974" s="68"/>
      <c r="AT974" s="68"/>
      <c r="AU974" s="68"/>
      <c r="AV974" s="68"/>
      <c r="AW974" s="68"/>
      <c r="AX974" s="68"/>
      <c r="AY974" s="68"/>
      <c r="AZ974" s="68"/>
      <c r="BA974" s="68"/>
      <c r="BB974" s="68"/>
      <c r="BC974" s="68"/>
      <c r="BD974" s="68"/>
      <c r="BE974" s="68"/>
      <c r="BF974" s="68"/>
      <c r="BG974" s="68"/>
      <c r="BH974" s="68"/>
      <c r="BI974" s="68"/>
      <c r="BJ974" s="68"/>
      <c r="BK974" s="68"/>
      <c r="BL974" s="68"/>
      <c r="BM974" s="68"/>
      <c r="BN974" s="68"/>
      <c r="BO974" s="68"/>
      <c r="BP974" s="68"/>
      <c r="BQ974" s="68"/>
      <c r="BR974" s="68"/>
      <c r="BS974" s="68"/>
      <c r="BT974" s="68"/>
      <c r="BU974" s="68"/>
      <c r="BV974" s="68"/>
      <c r="BW974" s="68"/>
      <c r="BX974" s="68"/>
      <c r="BY974" s="68"/>
      <c r="BZ974" s="68"/>
      <c r="CA974" s="68"/>
      <c r="CB974" s="68"/>
      <c r="CC974" s="68"/>
    </row>
    <row r="975" spans="1:81" ht="15.75" x14ac:dyDescent="0.25">
      <c r="A975" s="68"/>
      <c r="B975" s="68"/>
      <c r="C975" s="68"/>
      <c r="D975" s="69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  <c r="AC975" s="68"/>
      <c r="AD975" s="68"/>
      <c r="AE975" s="68"/>
      <c r="AF975" s="68"/>
      <c r="AG975" s="68"/>
      <c r="AH975" s="68"/>
      <c r="AI975" s="68"/>
      <c r="AJ975" s="68"/>
      <c r="AK975" s="68"/>
      <c r="AL975" s="68"/>
      <c r="AM975" s="68"/>
      <c r="AN975" s="68"/>
      <c r="AO975" s="68"/>
      <c r="AP975" s="68"/>
      <c r="AQ975" s="68"/>
      <c r="AR975" s="68"/>
      <c r="AS975" s="68"/>
      <c r="AT975" s="68"/>
      <c r="AU975" s="68"/>
      <c r="AV975" s="68"/>
      <c r="AW975" s="68"/>
      <c r="AX975" s="68"/>
      <c r="AY975" s="68"/>
      <c r="AZ975" s="68"/>
      <c r="BA975" s="68"/>
      <c r="BB975" s="68"/>
      <c r="BC975" s="68"/>
      <c r="BD975" s="68"/>
      <c r="BE975" s="68"/>
      <c r="BF975" s="68"/>
      <c r="BG975" s="68"/>
      <c r="BH975" s="68"/>
      <c r="BI975" s="68"/>
      <c r="BJ975" s="68"/>
      <c r="BK975" s="68"/>
      <c r="BL975" s="68"/>
      <c r="BM975" s="68"/>
      <c r="BN975" s="68"/>
      <c r="BO975" s="68"/>
      <c r="BP975" s="68"/>
      <c r="BQ975" s="68"/>
      <c r="BR975" s="68"/>
      <c r="BS975" s="68"/>
      <c r="BT975" s="68"/>
      <c r="BU975" s="68"/>
      <c r="BV975" s="68"/>
      <c r="BW975" s="68"/>
      <c r="BX975" s="68"/>
      <c r="BY975" s="68"/>
      <c r="BZ975" s="68"/>
      <c r="CA975" s="68"/>
      <c r="CB975" s="68"/>
      <c r="CC975" s="68"/>
    </row>
    <row r="976" spans="1:81" ht="15.75" x14ac:dyDescent="0.25">
      <c r="A976" s="68"/>
      <c r="B976" s="68"/>
      <c r="C976" s="68"/>
      <c r="D976" s="69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  <c r="AC976" s="68"/>
      <c r="AD976" s="68"/>
      <c r="AE976" s="68"/>
      <c r="AF976" s="68"/>
      <c r="AG976" s="68"/>
      <c r="AH976" s="68"/>
      <c r="AI976" s="68"/>
      <c r="AJ976" s="68"/>
      <c r="AK976" s="68"/>
      <c r="AL976" s="68"/>
      <c r="AM976" s="68"/>
      <c r="AN976" s="68"/>
      <c r="AO976" s="68"/>
      <c r="AP976" s="68"/>
      <c r="AQ976" s="68"/>
      <c r="AR976" s="68"/>
      <c r="AS976" s="68"/>
      <c r="AT976" s="68"/>
      <c r="AU976" s="68"/>
      <c r="AV976" s="68"/>
      <c r="AW976" s="68"/>
      <c r="AX976" s="68"/>
      <c r="AY976" s="68"/>
      <c r="AZ976" s="68"/>
      <c r="BA976" s="68"/>
      <c r="BB976" s="68"/>
      <c r="BC976" s="68"/>
      <c r="BD976" s="68"/>
      <c r="BE976" s="68"/>
      <c r="BF976" s="68"/>
      <c r="BG976" s="68"/>
      <c r="BH976" s="68"/>
      <c r="BI976" s="68"/>
      <c r="BJ976" s="68"/>
      <c r="BK976" s="68"/>
      <c r="BL976" s="68"/>
      <c r="BM976" s="68"/>
      <c r="BN976" s="68"/>
      <c r="BO976" s="68"/>
      <c r="BP976" s="68"/>
      <c r="BQ976" s="68"/>
      <c r="BR976" s="68"/>
      <c r="BS976" s="68"/>
      <c r="BT976" s="68"/>
      <c r="BU976" s="68"/>
      <c r="BV976" s="68"/>
      <c r="BW976" s="68"/>
      <c r="BX976" s="68"/>
      <c r="BY976" s="68"/>
      <c r="BZ976" s="68"/>
      <c r="CA976" s="68"/>
      <c r="CB976" s="68"/>
      <c r="CC976" s="68"/>
    </row>
    <row r="977" spans="1:81" ht="15.75" x14ac:dyDescent="0.25">
      <c r="A977" s="68"/>
      <c r="B977" s="68"/>
      <c r="C977" s="68"/>
      <c r="D977" s="69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  <c r="AB977" s="68"/>
      <c r="AC977" s="68"/>
      <c r="AD977" s="68"/>
      <c r="AE977" s="68"/>
      <c r="AF977" s="68"/>
      <c r="AG977" s="68"/>
      <c r="AH977" s="68"/>
      <c r="AI977" s="68"/>
      <c r="AJ977" s="68"/>
      <c r="AK977" s="68"/>
      <c r="AL977" s="68"/>
      <c r="AM977" s="68"/>
      <c r="AN977" s="68"/>
      <c r="AO977" s="68"/>
      <c r="AP977" s="68"/>
      <c r="AQ977" s="68"/>
      <c r="AR977" s="68"/>
      <c r="AS977" s="68"/>
      <c r="AT977" s="68"/>
      <c r="AU977" s="68"/>
      <c r="AV977" s="68"/>
      <c r="AW977" s="68"/>
      <c r="AX977" s="68"/>
      <c r="AY977" s="68"/>
      <c r="AZ977" s="68"/>
      <c r="BA977" s="68"/>
      <c r="BB977" s="68"/>
      <c r="BC977" s="68"/>
      <c r="BD977" s="68"/>
      <c r="BE977" s="68"/>
      <c r="BF977" s="68"/>
      <c r="BG977" s="68"/>
      <c r="BH977" s="68"/>
      <c r="BI977" s="68"/>
      <c r="BJ977" s="68"/>
      <c r="BK977" s="68"/>
      <c r="BL977" s="68"/>
      <c r="BM977" s="68"/>
      <c r="BN977" s="68"/>
      <c r="BO977" s="68"/>
      <c r="BP977" s="68"/>
      <c r="BQ977" s="68"/>
      <c r="BR977" s="68"/>
      <c r="BS977" s="68"/>
      <c r="BT977" s="68"/>
      <c r="BU977" s="68"/>
      <c r="BV977" s="68"/>
      <c r="BW977" s="68"/>
      <c r="BX977" s="68"/>
      <c r="BY977" s="68"/>
      <c r="BZ977" s="68"/>
      <c r="CA977" s="68"/>
      <c r="CB977" s="68"/>
      <c r="CC977" s="68"/>
    </row>
    <row r="978" spans="1:81" ht="15.75" x14ac:dyDescent="0.25">
      <c r="A978" s="68"/>
      <c r="B978" s="68"/>
      <c r="C978" s="68"/>
      <c r="D978" s="69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  <c r="AF978" s="68"/>
      <c r="AG978" s="68"/>
      <c r="AH978" s="68"/>
      <c r="AI978" s="68"/>
      <c r="AJ978" s="68"/>
      <c r="AK978" s="68"/>
      <c r="AL978" s="68"/>
      <c r="AM978" s="68"/>
      <c r="AN978" s="68"/>
      <c r="AO978" s="68"/>
      <c r="AP978" s="68"/>
      <c r="AQ978" s="68"/>
      <c r="AR978" s="68"/>
      <c r="AS978" s="68"/>
      <c r="AT978" s="68"/>
      <c r="AU978" s="68"/>
      <c r="AV978" s="68"/>
      <c r="AW978" s="68"/>
      <c r="AX978" s="68"/>
      <c r="AY978" s="68"/>
      <c r="AZ978" s="68"/>
      <c r="BA978" s="68"/>
      <c r="BB978" s="68"/>
      <c r="BC978" s="68"/>
      <c r="BD978" s="68"/>
      <c r="BE978" s="68"/>
      <c r="BF978" s="68"/>
      <c r="BG978" s="68"/>
      <c r="BH978" s="68"/>
      <c r="BI978" s="68"/>
      <c r="BJ978" s="68"/>
      <c r="BK978" s="68"/>
      <c r="BL978" s="68"/>
      <c r="BM978" s="68"/>
      <c r="BN978" s="68"/>
      <c r="BO978" s="68"/>
      <c r="BP978" s="68"/>
      <c r="BQ978" s="68"/>
      <c r="BR978" s="68"/>
      <c r="BS978" s="68"/>
      <c r="BT978" s="68"/>
      <c r="BU978" s="68"/>
      <c r="BV978" s="68"/>
      <c r="BW978" s="68"/>
      <c r="BX978" s="68"/>
      <c r="BY978" s="68"/>
      <c r="BZ978" s="68"/>
      <c r="CA978" s="68"/>
      <c r="CB978" s="68"/>
      <c r="CC978" s="68"/>
    </row>
    <row r="979" spans="1:81" ht="15.75" x14ac:dyDescent="0.25">
      <c r="A979" s="68"/>
      <c r="B979" s="68"/>
      <c r="C979" s="68"/>
      <c r="D979" s="69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  <c r="AD979" s="68"/>
      <c r="AE979" s="68"/>
      <c r="AF979" s="68"/>
      <c r="AG979" s="68"/>
      <c r="AH979" s="68"/>
      <c r="AI979" s="68"/>
      <c r="AJ979" s="68"/>
      <c r="AK979" s="68"/>
      <c r="AL979" s="68"/>
      <c r="AM979" s="68"/>
      <c r="AN979" s="68"/>
      <c r="AO979" s="68"/>
      <c r="AP979" s="68"/>
      <c r="AQ979" s="68"/>
      <c r="AR979" s="68"/>
      <c r="AS979" s="68"/>
      <c r="AT979" s="68"/>
      <c r="AU979" s="68"/>
      <c r="AV979" s="68"/>
      <c r="AW979" s="68"/>
      <c r="AX979" s="68"/>
      <c r="AY979" s="68"/>
      <c r="AZ979" s="68"/>
      <c r="BA979" s="68"/>
      <c r="BB979" s="68"/>
      <c r="BC979" s="68"/>
      <c r="BD979" s="68"/>
      <c r="BE979" s="68"/>
      <c r="BF979" s="68"/>
      <c r="BG979" s="68"/>
      <c r="BH979" s="68"/>
      <c r="BI979" s="68"/>
      <c r="BJ979" s="68"/>
      <c r="BK979" s="68"/>
      <c r="BL979" s="68"/>
      <c r="BM979" s="68"/>
      <c r="BN979" s="68"/>
      <c r="BO979" s="68"/>
      <c r="BP979" s="68"/>
      <c r="BQ979" s="68"/>
      <c r="BR979" s="68"/>
      <c r="BS979" s="68"/>
      <c r="BT979" s="68"/>
      <c r="BU979" s="68"/>
      <c r="BV979" s="68"/>
      <c r="BW979" s="68"/>
      <c r="BX979" s="68"/>
      <c r="BY979" s="68"/>
      <c r="BZ979" s="68"/>
      <c r="CA979" s="68"/>
      <c r="CB979" s="68"/>
      <c r="CC979" s="68"/>
    </row>
    <row r="980" spans="1:81" ht="15.75" x14ac:dyDescent="0.25">
      <c r="A980" s="68"/>
      <c r="B980" s="68"/>
      <c r="C980" s="68"/>
      <c r="D980" s="69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  <c r="AD980" s="68"/>
      <c r="AE980" s="68"/>
      <c r="AF980" s="68"/>
      <c r="AG980" s="68"/>
      <c r="AH980" s="68"/>
      <c r="AI980" s="68"/>
      <c r="AJ980" s="68"/>
      <c r="AK980" s="68"/>
      <c r="AL980" s="68"/>
      <c r="AM980" s="68"/>
      <c r="AN980" s="68"/>
      <c r="AO980" s="68"/>
      <c r="AP980" s="68"/>
      <c r="AQ980" s="68"/>
      <c r="AR980" s="68"/>
      <c r="AS980" s="68"/>
      <c r="AT980" s="68"/>
      <c r="AU980" s="68"/>
      <c r="AV980" s="68"/>
      <c r="AW980" s="68"/>
      <c r="AX980" s="68"/>
      <c r="AY980" s="68"/>
      <c r="AZ980" s="68"/>
      <c r="BA980" s="68"/>
      <c r="BB980" s="68"/>
      <c r="BC980" s="68"/>
      <c r="BD980" s="68"/>
      <c r="BE980" s="68"/>
      <c r="BF980" s="68"/>
      <c r="BG980" s="68"/>
      <c r="BH980" s="68"/>
      <c r="BI980" s="68"/>
      <c r="BJ980" s="68"/>
      <c r="BK980" s="68"/>
      <c r="BL980" s="68"/>
      <c r="BM980" s="68"/>
      <c r="BN980" s="68"/>
      <c r="BO980" s="68"/>
      <c r="BP980" s="68"/>
      <c r="BQ980" s="68"/>
      <c r="BR980" s="68"/>
      <c r="BS980" s="68"/>
      <c r="BT980" s="68"/>
      <c r="BU980" s="68"/>
      <c r="BV980" s="68"/>
      <c r="BW980" s="68"/>
      <c r="BX980" s="68"/>
      <c r="BY980" s="68"/>
      <c r="BZ980" s="68"/>
      <c r="CA980" s="68"/>
      <c r="CB980" s="68"/>
      <c r="CC980" s="68"/>
    </row>
    <row r="981" spans="1:81" ht="15.75" x14ac:dyDescent="0.25">
      <c r="A981" s="68"/>
      <c r="B981" s="68"/>
      <c r="C981" s="68"/>
      <c r="D981" s="69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  <c r="AD981" s="68"/>
      <c r="AE981" s="68"/>
      <c r="AF981" s="68"/>
      <c r="AG981" s="68"/>
      <c r="AH981" s="68"/>
      <c r="AI981" s="68"/>
      <c r="AJ981" s="68"/>
      <c r="AK981" s="68"/>
      <c r="AL981" s="68"/>
      <c r="AM981" s="68"/>
      <c r="AN981" s="68"/>
      <c r="AO981" s="68"/>
      <c r="AP981" s="68"/>
      <c r="AQ981" s="68"/>
      <c r="AR981" s="68"/>
      <c r="AS981" s="68"/>
      <c r="AT981" s="68"/>
      <c r="AU981" s="68"/>
      <c r="AV981" s="68"/>
      <c r="AW981" s="68"/>
      <c r="AX981" s="68"/>
      <c r="AY981" s="68"/>
      <c r="AZ981" s="68"/>
      <c r="BA981" s="68"/>
      <c r="BB981" s="68"/>
      <c r="BC981" s="68"/>
      <c r="BD981" s="68"/>
      <c r="BE981" s="68"/>
      <c r="BF981" s="68"/>
      <c r="BG981" s="68"/>
      <c r="BH981" s="68"/>
      <c r="BI981" s="68"/>
      <c r="BJ981" s="68"/>
      <c r="BK981" s="68"/>
      <c r="BL981" s="68"/>
      <c r="BM981" s="68"/>
      <c r="BN981" s="68"/>
      <c r="BO981" s="68"/>
      <c r="BP981" s="68"/>
      <c r="BQ981" s="68"/>
      <c r="BR981" s="68"/>
      <c r="BS981" s="68"/>
      <c r="BT981" s="68"/>
      <c r="BU981" s="68"/>
      <c r="BV981" s="68"/>
      <c r="BW981" s="68"/>
      <c r="BX981" s="68"/>
      <c r="BY981" s="68"/>
      <c r="BZ981" s="68"/>
      <c r="CA981" s="68"/>
      <c r="CB981" s="68"/>
      <c r="CC981" s="68"/>
    </row>
    <row r="982" spans="1:81" ht="15.75" x14ac:dyDescent="0.25">
      <c r="A982" s="68"/>
      <c r="B982" s="68"/>
      <c r="C982" s="68"/>
      <c r="D982" s="69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  <c r="AD982" s="68"/>
      <c r="AE982" s="68"/>
      <c r="AF982" s="68"/>
      <c r="AG982" s="68"/>
      <c r="AH982" s="68"/>
      <c r="AI982" s="68"/>
      <c r="AJ982" s="68"/>
      <c r="AK982" s="68"/>
      <c r="AL982" s="68"/>
      <c r="AM982" s="68"/>
      <c r="AN982" s="68"/>
      <c r="AO982" s="68"/>
      <c r="AP982" s="68"/>
      <c r="AQ982" s="68"/>
      <c r="AR982" s="68"/>
      <c r="AS982" s="68"/>
      <c r="AT982" s="68"/>
      <c r="AU982" s="68"/>
      <c r="AV982" s="68"/>
      <c r="AW982" s="68"/>
      <c r="AX982" s="68"/>
      <c r="AY982" s="68"/>
      <c r="AZ982" s="68"/>
      <c r="BA982" s="68"/>
      <c r="BB982" s="68"/>
      <c r="BC982" s="68"/>
      <c r="BD982" s="68"/>
      <c r="BE982" s="68"/>
      <c r="BF982" s="68"/>
      <c r="BG982" s="68"/>
      <c r="BH982" s="68"/>
      <c r="BI982" s="68"/>
      <c r="BJ982" s="68"/>
      <c r="BK982" s="68"/>
      <c r="BL982" s="68"/>
      <c r="BM982" s="68"/>
      <c r="BN982" s="68"/>
      <c r="BO982" s="68"/>
      <c r="BP982" s="68"/>
      <c r="BQ982" s="68"/>
      <c r="BR982" s="68"/>
      <c r="BS982" s="68"/>
      <c r="BT982" s="68"/>
      <c r="BU982" s="68"/>
      <c r="BV982" s="68"/>
      <c r="BW982" s="68"/>
      <c r="BX982" s="68"/>
      <c r="BY982" s="68"/>
      <c r="BZ982" s="68"/>
      <c r="CA982" s="68"/>
      <c r="CB982" s="68"/>
      <c r="CC982" s="68"/>
    </row>
    <row r="983" spans="1:81" ht="15.75" x14ac:dyDescent="0.25">
      <c r="A983" s="68"/>
      <c r="B983" s="68"/>
      <c r="C983" s="68"/>
      <c r="D983" s="69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  <c r="AF983" s="68"/>
      <c r="AG983" s="68"/>
      <c r="AH983" s="68"/>
      <c r="AI983" s="68"/>
      <c r="AJ983" s="68"/>
      <c r="AK983" s="68"/>
      <c r="AL983" s="68"/>
      <c r="AM983" s="68"/>
      <c r="AN983" s="68"/>
      <c r="AO983" s="68"/>
      <c r="AP983" s="68"/>
      <c r="AQ983" s="68"/>
      <c r="AR983" s="68"/>
      <c r="AS983" s="68"/>
      <c r="AT983" s="68"/>
      <c r="AU983" s="68"/>
      <c r="AV983" s="68"/>
      <c r="AW983" s="68"/>
      <c r="AX983" s="68"/>
      <c r="AY983" s="68"/>
      <c r="AZ983" s="68"/>
      <c r="BA983" s="68"/>
      <c r="BB983" s="68"/>
      <c r="BC983" s="68"/>
      <c r="BD983" s="68"/>
      <c r="BE983" s="68"/>
      <c r="BF983" s="68"/>
      <c r="BG983" s="68"/>
      <c r="BH983" s="68"/>
      <c r="BI983" s="68"/>
      <c r="BJ983" s="68"/>
      <c r="BK983" s="68"/>
      <c r="BL983" s="68"/>
      <c r="BM983" s="68"/>
      <c r="BN983" s="68"/>
      <c r="BO983" s="68"/>
      <c r="BP983" s="68"/>
      <c r="BQ983" s="68"/>
      <c r="BR983" s="68"/>
      <c r="BS983" s="68"/>
      <c r="BT983" s="68"/>
      <c r="BU983" s="68"/>
      <c r="BV983" s="68"/>
      <c r="BW983" s="68"/>
      <c r="BX983" s="68"/>
      <c r="BY983" s="68"/>
      <c r="BZ983" s="68"/>
      <c r="CA983" s="68"/>
      <c r="CB983" s="68"/>
      <c r="CC983" s="68"/>
    </row>
    <row r="984" spans="1:81" ht="15.75" x14ac:dyDescent="0.25">
      <c r="A984" s="68"/>
      <c r="B984" s="68"/>
      <c r="C984" s="68"/>
      <c r="D984" s="69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  <c r="AD984" s="68"/>
      <c r="AE984" s="68"/>
      <c r="AF984" s="68"/>
      <c r="AG984" s="68"/>
      <c r="AH984" s="68"/>
      <c r="AI984" s="68"/>
      <c r="AJ984" s="68"/>
      <c r="AK984" s="68"/>
      <c r="AL984" s="68"/>
      <c r="AM984" s="68"/>
      <c r="AN984" s="68"/>
      <c r="AO984" s="68"/>
      <c r="AP984" s="68"/>
      <c r="AQ984" s="68"/>
      <c r="AR984" s="68"/>
      <c r="AS984" s="68"/>
      <c r="AT984" s="68"/>
      <c r="AU984" s="68"/>
      <c r="AV984" s="68"/>
      <c r="AW984" s="68"/>
      <c r="AX984" s="68"/>
      <c r="AY984" s="68"/>
      <c r="AZ984" s="68"/>
      <c r="BA984" s="68"/>
      <c r="BB984" s="68"/>
      <c r="BC984" s="68"/>
      <c r="BD984" s="68"/>
      <c r="BE984" s="68"/>
      <c r="BF984" s="68"/>
      <c r="BG984" s="68"/>
      <c r="BH984" s="68"/>
      <c r="BI984" s="68"/>
      <c r="BJ984" s="68"/>
      <c r="BK984" s="68"/>
      <c r="BL984" s="68"/>
      <c r="BM984" s="68"/>
      <c r="BN984" s="68"/>
      <c r="BO984" s="68"/>
      <c r="BP984" s="68"/>
      <c r="BQ984" s="68"/>
      <c r="BR984" s="68"/>
      <c r="BS984" s="68"/>
      <c r="BT984" s="68"/>
      <c r="BU984" s="68"/>
      <c r="BV984" s="68"/>
      <c r="BW984" s="68"/>
      <c r="BX984" s="68"/>
      <c r="BY984" s="68"/>
      <c r="BZ984" s="68"/>
      <c r="CA984" s="68"/>
      <c r="CB984" s="68"/>
      <c r="CC984" s="68"/>
    </row>
    <row r="985" spans="1:81" ht="15.75" x14ac:dyDescent="0.25">
      <c r="A985" s="68"/>
      <c r="B985" s="68"/>
      <c r="C985" s="68"/>
      <c r="D985" s="69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  <c r="AF985" s="68"/>
      <c r="AG985" s="68"/>
      <c r="AH985" s="68"/>
      <c r="AI985" s="68"/>
      <c r="AJ985" s="68"/>
      <c r="AK985" s="68"/>
      <c r="AL985" s="68"/>
      <c r="AM985" s="68"/>
      <c r="AN985" s="68"/>
      <c r="AO985" s="68"/>
      <c r="AP985" s="68"/>
      <c r="AQ985" s="68"/>
      <c r="AR985" s="68"/>
      <c r="AS985" s="68"/>
      <c r="AT985" s="68"/>
      <c r="AU985" s="68"/>
      <c r="AV985" s="68"/>
      <c r="AW985" s="68"/>
      <c r="AX985" s="68"/>
      <c r="AY985" s="68"/>
      <c r="AZ985" s="68"/>
      <c r="BA985" s="68"/>
      <c r="BB985" s="68"/>
      <c r="BC985" s="68"/>
      <c r="BD985" s="68"/>
      <c r="BE985" s="68"/>
      <c r="BF985" s="68"/>
      <c r="BG985" s="68"/>
      <c r="BH985" s="68"/>
      <c r="BI985" s="68"/>
      <c r="BJ985" s="68"/>
      <c r="BK985" s="68"/>
      <c r="BL985" s="68"/>
      <c r="BM985" s="68"/>
      <c r="BN985" s="68"/>
      <c r="BO985" s="68"/>
      <c r="BP985" s="68"/>
      <c r="BQ985" s="68"/>
      <c r="BR985" s="68"/>
      <c r="BS985" s="68"/>
      <c r="BT985" s="68"/>
      <c r="BU985" s="68"/>
      <c r="BV985" s="68"/>
      <c r="BW985" s="68"/>
      <c r="BX985" s="68"/>
      <c r="BY985" s="68"/>
      <c r="BZ985" s="68"/>
      <c r="CA985" s="68"/>
      <c r="CB985" s="68"/>
      <c r="CC985" s="68"/>
    </row>
    <row r="986" spans="1:81" ht="15.75" x14ac:dyDescent="0.25">
      <c r="A986" s="68"/>
      <c r="B986" s="68"/>
      <c r="C986" s="68"/>
      <c r="D986" s="69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  <c r="AF986" s="68"/>
      <c r="AG986" s="68"/>
      <c r="AH986" s="68"/>
      <c r="AI986" s="68"/>
      <c r="AJ986" s="68"/>
      <c r="AK986" s="68"/>
      <c r="AL986" s="68"/>
      <c r="AM986" s="68"/>
      <c r="AN986" s="68"/>
      <c r="AO986" s="68"/>
      <c r="AP986" s="68"/>
      <c r="AQ986" s="68"/>
      <c r="AR986" s="68"/>
      <c r="AS986" s="68"/>
      <c r="AT986" s="68"/>
      <c r="AU986" s="68"/>
      <c r="AV986" s="68"/>
      <c r="AW986" s="68"/>
      <c r="AX986" s="68"/>
      <c r="AY986" s="68"/>
      <c r="AZ986" s="68"/>
      <c r="BA986" s="68"/>
      <c r="BB986" s="68"/>
      <c r="BC986" s="68"/>
      <c r="BD986" s="68"/>
      <c r="BE986" s="68"/>
      <c r="BF986" s="68"/>
      <c r="BG986" s="68"/>
      <c r="BH986" s="68"/>
      <c r="BI986" s="68"/>
      <c r="BJ986" s="68"/>
      <c r="BK986" s="68"/>
      <c r="BL986" s="68"/>
      <c r="BM986" s="68"/>
      <c r="BN986" s="68"/>
      <c r="BO986" s="68"/>
      <c r="BP986" s="68"/>
      <c r="BQ986" s="68"/>
      <c r="BR986" s="68"/>
      <c r="BS986" s="68"/>
      <c r="BT986" s="68"/>
      <c r="BU986" s="68"/>
      <c r="BV986" s="68"/>
      <c r="BW986" s="68"/>
      <c r="BX986" s="68"/>
      <c r="BY986" s="68"/>
      <c r="BZ986" s="68"/>
      <c r="CA986" s="68"/>
      <c r="CB986" s="68"/>
      <c r="CC986" s="68"/>
    </row>
    <row r="987" spans="1:81" ht="15.75" x14ac:dyDescent="0.25">
      <c r="A987" s="68"/>
      <c r="B987" s="68"/>
      <c r="C987" s="68"/>
      <c r="D987" s="69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  <c r="AF987" s="68"/>
      <c r="AG987" s="68"/>
      <c r="AH987" s="68"/>
      <c r="AI987" s="68"/>
      <c r="AJ987" s="68"/>
      <c r="AK987" s="68"/>
      <c r="AL987" s="68"/>
      <c r="AM987" s="68"/>
      <c r="AN987" s="68"/>
      <c r="AO987" s="68"/>
      <c r="AP987" s="68"/>
      <c r="AQ987" s="68"/>
      <c r="AR987" s="68"/>
      <c r="AS987" s="68"/>
      <c r="AT987" s="68"/>
      <c r="AU987" s="68"/>
      <c r="AV987" s="68"/>
      <c r="AW987" s="68"/>
      <c r="AX987" s="68"/>
      <c r="AY987" s="68"/>
      <c r="AZ987" s="68"/>
      <c r="BA987" s="68"/>
      <c r="BB987" s="68"/>
      <c r="BC987" s="68"/>
      <c r="BD987" s="68"/>
      <c r="BE987" s="68"/>
      <c r="BF987" s="68"/>
      <c r="BG987" s="68"/>
      <c r="BH987" s="68"/>
      <c r="BI987" s="68"/>
      <c r="BJ987" s="68"/>
      <c r="BK987" s="68"/>
      <c r="BL987" s="68"/>
      <c r="BM987" s="68"/>
      <c r="BN987" s="68"/>
      <c r="BO987" s="68"/>
      <c r="BP987" s="68"/>
      <c r="BQ987" s="68"/>
      <c r="BR987" s="68"/>
      <c r="BS987" s="68"/>
      <c r="BT987" s="68"/>
      <c r="BU987" s="68"/>
      <c r="BV987" s="68"/>
      <c r="BW987" s="68"/>
      <c r="BX987" s="68"/>
      <c r="BY987" s="68"/>
      <c r="BZ987" s="68"/>
      <c r="CA987" s="68"/>
      <c r="CB987" s="68"/>
      <c r="CC987" s="68"/>
    </row>
    <row r="988" spans="1:81" ht="15.75" x14ac:dyDescent="0.25">
      <c r="A988" s="68"/>
      <c r="B988" s="68"/>
      <c r="C988" s="68"/>
      <c r="D988" s="69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  <c r="AF988" s="68"/>
      <c r="AG988" s="68"/>
      <c r="AH988" s="68"/>
      <c r="AI988" s="68"/>
      <c r="AJ988" s="68"/>
      <c r="AK988" s="68"/>
      <c r="AL988" s="68"/>
      <c r="AM988" s="68"/>
      <c r="AN988" s="68"/>
      <c r="AO988" s="68"/>
      <c r="AP988" s="68"/>
      <c r="AQ988" s="68"/>
      <c r="AR988" s="68"/>
      <c r="AS988" s="68"/>
      <c r="AT988" s="68"/>
      <c r="AU988" s="68"/>
      <c r="AV988" s="68"/>
      <c r="AW988" s="68"/>
      <c r="AX988" s="68"/>
      <c r="AY988" s="68"/>
      <c r="AZ988" s="68"/>
      <c r="BA988" s="68"/>
      <c r="BB988" s="68"/>
      <c r="BC988" s="68"/>
      <c r="BD988" s="68"/>
      <c r="BE988" s="68"/>
      <c r="BF988" s="68"/>
      <c r="BG988" s="68"/>
      <c r="BH988" s="68"/>
      <c r="BI988" s="68"/>
      <c r="BJ988" s="68"/>
      <c r="BK988" s="68"/>
      <c r="BL988" s="68"/>
      <c r="BM988" s="68"/>
      <c r="BN988" s="68"/>
      <c r="BO988" s="68"/>
      <c r="BP988" s="68"/>
      <c r="BQ988" s="68"/>
      <c r="BR988" s="68"/>
      <c r="BS988" s="68"/>
      <c r="BT988" s="68"/>
      <c r="BU988" s="68"/>
      <c r="BV988" s="68"/>
      <c r="BW988" s="68"/>
      <c r="BX988" s="68"/>
      <c r="BY988" s="68"/>
      <c r="BZ988" s="68"/>
      <c r="CA988" s="68"/>
      <c r="CB988" s="68"/>
      <c r="CC988" s="68"/>
    </row>
    <row r="989" spans="1:81" ht="15.75" x14ac:dyDescent="0.25">
      <c r="A989" s="68"/>
      <c r="B989" s="68"/>
      <c r="C989" s="68"/>
      <c r="D989" s="69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  <c r="AD989" s="68"/>
      <c r="AE989" s="68"/>
      <c r="AF989" s="68"/>
      <c r="AG989" s="68"/>
      <c r="AH989" s="68"/>
      <c r="AI989" s="68"/>
      <c r="AJ989" s="68"/>
      <c r="AK989" s="68"/>
      <c r="AL989" s="68"/>
      <c r="AM989" s="68"/>
      <c r="AN989" s="68"/>
      <c r="AO989" s="68"/>
      <c r="AP989" s="68"/>
      <c r="AQ989" s="68"/>
      <c r="AR989" s="68"/>
      <c r="AS989" s="68"/>
      <c r="AT989" s="68"/>
      <c r="AU989" s="68"/>
      <c r="AV989" s="68"/>
      <c r="AW989" s="68"/>
      <c r="AX989" s="68"/>
      <c r="AY989" s="68"/>
      <c r="AZ989" s="68"/>
      <c r="BA989" s="68"/>
      <c r="BB989" s="68"/>
      <c r="BC989" s="68"/>
      <c r="BD989" s="68"/>
      <c r="BE989" s="68"/>
      <c r="BF989" s="68"/>
      <c r="BG989" s="68"/>
      <c r="BH989" s="68"/>
      <c r="BI989" s="68"/>
      <c r="BJ989" s="68"/>
      <c r="BK989" s="68"/>
      <c r="BL989" s="68"/>
      <c r="BM989" s="68"/>
      <c r="BN989" s="68"/>
      <c r="BO989" s="68"/>
      <c r="BP989" s="68"/>
      <c r="BQ989" s="68"/>
      <c r="BR989" s="68"/>
      <c r="BS989" s="68"/>
      <c r="BT989" s="68"/>
      <c r="BU989" s="68"/>
      <c r="BV989" s="68"/>
      <c r="BW989" s="68"/>
      <c r="BX989" s="68"/>
      <c r="BY989" s="68"/>
      <c r="BZ989" s="68"/>
      <c r="CA989" s="68"/>
      <c r="CB989" s="68"/>
      <c r="CC989" s="68"/>
    </row>
    <row r="990" spans="1:81" ht="15.75" x14ac:dyDescent="0.25">
      <c r="A990" s="68"/>
      <c r="B990" s="68"/>
      <c r="C990" s="68"/>
      <c r="D990" s="69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  <c r="AF990" s="68"/>
      <c r="AG990" s="68"/>
      <c r="AH990" s="68"/>
      <c r="AI990" s="68"/>
      <c r="AJ990" s="68"/>
      <c r="AK990" s="68"/>
      <c r="AL990" s="68"/>
      <c r="AM990" s="68"/>
      <c r="AN990" s="68"/>
      <c r="AO990" s="68"/>
      <c r="AP990" s="68"/>
      <c r="AQ990" s="68"/>
      <c r="AR990" s="68"/>
      <c r="AS990" s="68"/>
      <c r="AT990" s="68"/>
      <c r="AU990" s="68"/>
      <c r="AV990" s="68"/>
      <c r="AW990" s="68"/>
      <c r="AX990" s="68"/>
      <c r="AY990" s="68"/>
      <c r="AZ990" s="68"/>
      <c r="BA990" s="68"/>
      <c r="BB990" s="68"/>
      <c r="BC990" s="68"/>
      <c r="BD990" s="68"/>
      <c r="BE990" s="68"/>
      <c r="BF990" s="68"/>
      <c r="BG990" s="68"/>
      <c r="BH990" s="68"/>
      <c r="BI990" s="68"/>
      <c r="BJ990" s="68"/>
      <c r="BK990" s="68"/>
      <c r="BL990" s="68"/>
      <c r="BM990" s="68"/>
      <c r="BN990" s="68"/>
      <c r="BO990" s="68"/>
      <c r="BP990" s="68"/>
      <c r="BQ990" s="68"/>
      <c r="BR990" s="68"/>
      <c r="BS990" s="68"/>
      <c r="BT990" s="68"/>
      <c r="BU990" s="68"/>
      <c r="BV990" s="68"/>
      <c r="BW990" s="68"/>
      <c r="BX990" s="68"/>
      <c r="BY990" s="68"/>
      <c r="BZ990" s="68"/>
      <c r="CA990" s="68"/>
      <c r="CB990" s="68"/>
      <c r="CC990" s="68"/>
    </row>
    <row r="991" spans="1:81" ht="15.75" x14ac:dyDescent="0.25">
      <c r="A991" s="68"/>
      <c r="B991" s="68"/>
      <c r="C991" s="68"/>
      <c r="D991" s="69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  <c r="AF991" s="68"/>
      <c r="AG991" s="68"/>
      <c r="AH991" s="68"/>
      <c r="AI991" s="68"/>
      <c r="AJ991" s="68"/>
      <c r="AK991" s="68"/>
      <c r="AL991" s="68"/>
      <c r="AM991" s="68"/>
      <c r="AN991" s="68"/>
      <c r="AO991" s="68"/>
      <c r="AP991" s="68"/>
      <c r="AQ991" s="68"/>
      <c r="AR991" s="68"/>
      <c r="AS991" s="68"/>
      <c r="AT991" s="68"/>
      <c r="AU991" s="68"/>
      <c r="AV991" s="68"/>
      <c r="AW991" s="68"/>
      <c r="AX991" s="68"/>
      <c r="AY991" s="68"/>
      <c r="AZ991" s="68"/>
      <c r="BA991" s="68"/>
      <c r="BB991" s="68"/>
      <c r="BC991" s="68"/>
      <c r="BD991" s="68"/>
      <c r="BE991" s="68"/>
      <c r="BF991" s="68"/>
      <c r="BG991" s="68"/>
      <c r="BH991" s="68"/>
      <c r="BI991" s="68"/>
      <c r="BJ991" s="68"/>
      <c r="BK991" s="68"/>
      <c r="BL991" s="68"/>
      <c r="BM991" s="68"/>
      <c r="BN991" s="68"/>
      <c r="BO991" s="68"/>
      <c r="BP991" s="68"/>
      <c r="BQ991" s="68"/>
      <c r="BR991" s="68"/>
      <c r="BS991" s="68"/>
      <c r="BT991" s="68"/>
      <c r="BU991" s="68"/>
      <c r="BV991" s="68"/>
      <c r="BW991" s="68"/>
      <c r="BX991" s="68"/>
      <c r="BY991" s="68"/>
      <c r="BZ991" s="68"/>
      <c r="CA991" s="68"/>
      <c r="CB991" s="68"/>
      <c r="CC991" s="68"/>
    </row>
    <row r="992" spans="1:81" ht="15.75" x14ac:dyDescent="0.25">
      <c r="A992" s="68"/>
      <c r="B992" s="68"/>
      <c r="C992" s="68"/>
      <c r="D992" s="69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  <c r="AF992" s="68"/>
      <c r="AG992" s="68"/>
      <c r="AH992" s="68"/>
      <c r="AI992" s="68"/>
      <c r="AJ992" s="68"/>
      <c r="AK992" s="68"/>
      <c r="AL992" s="68"/>
      <c r="AM992" s="68"/>
      <c r="AN992" s="68"/>
      <c r="AO992" s="68"/>
      <c r="AP992" s="68"/>
      <c r="AQ992" s="68"/>
      <c r="AR992" s="68"/>
      <c r="AS992" s="68"/>
      <c r="AT992" s="68"/>
      <c r="AU992" s="68"/>
      <c r="AV992" s="68"/>
      <c r="AW992" s="68"/>
      <c r="AX992" s="68"/>
      <c r="AY992" s="68"/>
      <c r="AZ992" s="68"/>
      <c r="BA992" s="68"/>
      <c r="BB992" s="68"/>
      <c r="BC992" s="68"/>
      <c r="BD992" s="68"/>
      <c r="BE992" s="68"/>
      <c r="BF992" s="68"/>
      <c r="BG992" s="68"/>
      <c r="BH992" s="68"/>
      <c r="BI992" s="68"/>
      <c r="BJ992" s="68"/>
      <c r="BK992" s="68"/>
      <c r="BL992" s="68"/>
      <c r="BM992" s="68"/>
      <c r="BN992" s="68"/>
      <c r="BO992" s="68"/>
      <c r="BP992" s="68"/>
      <c r="BQ992" s="68"/>
      <c r="BR992" s="68"/>
      <c r="BS992" s="68"/>
      <c r="BT992" s="68"/>
      <c r="BU992" s="68"/>
      <c r="BV992" s="68"/>
      <c r="BW992" s="68"/>
      <c r="BX992" s="68"/>
      <c r="BY992" s="68"/>
      <c r="BZ992" s="68"/>
      <c r="CA992" s="68"/>
      <c r="CB992" s="68"/>
      <c r="CC992" s="68"/>
    </row>
    <row r="993" spans="1:81" ht="15.75" x14ac:dyDescent="0.25">
      <c r="A993" s="68"/>
      <c r="B993" s="68"/>
      <c r="C993" s="68"/>
      <c r="D993" s="69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  <c r="AF993" s="68"/>
      <c r="AG993" s="68"/>
      <c r="AH993" s="68"/>
      <c r="AI993" s="68"/>
      <c r="AJ993" s="68"/>
      <c r="AK993" s="68"/>
      <c r="AL993" s="68"/>
      <c r="AM993" s="68"/>
      <c r="AN993" s="68"/>
      <c r="AO993" s="68"/>
      <c r="AP993" s="68"/>
      <c r="AQ993" s="68"/>
      <c r="AR993" s="68"/>
      <c r="AS993" s="68"/>
      <c r="AT993" s="68"/>
      <c r="AU993" s="68"/>
      <c r="AV993" s="68"/>
      <c r="AW993" s="68"/>
      <c r="AX993" s="68"/>
      <c r="AY993" s="68"/>
      <c r="AZ993" s="68"/>
      <c r="BA993" s="68"/>
      <c r="BB993" s="68"/>
      <c r="BC993" s="68"/>
      <c r="BD993" s="68"/>
      <c r="BE993" s="68"/>
      <c r="BF993" s="68"/>
      <c r="BG993" s="68"/>
      <c r="BH993" s="68"/>
      <c r="BI993" s="68"/>
      <c r="BJ993" s="68"/>
      <c r="BK993" s="68"/>
      <c r="BL993" s="68"/>
      <c r="BM993" s="68"/>
      <c r="BN993" s="68"/>
      <c r="BO993" s="68"/>
      <c r="BP993" s="68"/>
      <c r="BQ993" s="68"/>
      <c r="BR993" s="68"/>
      <c r="BS993" s="68"/>
      <c r="BT993" s="68"/>
      <c r="BU993" s="68"/>
      <c r="BV993" s="68"/>
      <c r="BW993" s="68"/>
      <c r="BX993" s="68"/>
      <c r="BY993" s="68"/>
      <c r="BZ993" s="68"/>
      <c r="CA993" s="68"/>
      <c r="CB993" s="68"/>
      <c r="CC993" s="68"/>
    </row>
    <row r="994" spans="1:81" ht="15.75" x14ac:dyDescent="0.25">
      <c r="A994" s="68"/>
      <c r="B994" s="68"/>
      <c r="C994" s="68"/>
      <c r="D994" s="69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  <c r="AF994" s="68"/>
      <c r="AG994" s="68"/>
      <c r="AH994" s="68"/>
      <c r="AI994" s="68"/>
      <c r="AJ994" s="68"/>
      <c r="AK994" s="68"/>
      <c r="AL994" s="68"/>
      <c r="AM994" s="68"/>
      <c r="AN994" s="68"/>
      <c r="AO994" s="68"/>
      <c r="AP994" s="68"/>
      <c r="AQ994" s="68"/>
      <c r="AR994" s="68"/>
      <c r="AS994" s="68"/>
      <c r="AT994" s="68"/>
      <c r="AU994" s="68"/>
      <c r="AV994" s="68"/>
      <c r="AW994" s="68"/>
      <c r="AX994" s="68"/>
      <c r="AY994" s="68"/>
      <c r="AZ994" s="68"/>
      <c r="BA994" s="68"/>
      <c r="BB994" s="68"/>
      <c r="BC994" s="68"/>
      <c r="BD994" s="68"/>
      <c r="BE994" s="68"/>
      <c r="BF994" s="68"/>
      <c r="BG994" s="68"/>
      <c r="BH994" s="68"/>
      <c r="BI994" s="68"/>
      <c r="BJ994" s="68"/>
      <c r="BK994" s="68"/>
      <c r="BL994" s="68"/>
      <c r="BM994" s="68"/>
      <c r="BN994" s="68"/>
      <c r="BO994" s="68"/>
      <c r="BP994" s="68"/>
      <c r="BQ994" s="68"/>
      <c r="BR994" s="68"/>
      <c r="BS994" s="68"/>
      <c r="BT994" s="68"/>
      <c r="BU994" s="68"/>
      <c r="BV994" s="68"/>
      <c r="BW994" s="68"/>
      <c r="BX994" s="68"/>
      <c r="BY994" s="68"/>
      <c r="BZ994" s="68"/>
      <c r="CA994" s="68"/>
      <c r="CB994" s="68"/>
      <c r="CC994" s="68"/>
    </row>
    <row r="995" spans="1:81" ht="15.75" x14ac:dyDescent="0.25">
      <c r="A995" s="68"/>
      <c r="B995" s="68"/>
      <c r="C995" s="68"/>
      <c r="D995" s="69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  <c r="AF995" s="68"/>
      <c r="AG995" s="68"/>
      <c r="AH995" s="68"/>
      <c r="AI995" s="68"/>
      <c r="AJ995" s="68"/>
      <c r="AK995" s="68"/>
      <c r="AL995" s="68"/>
      <c r="AM995" s="68"/>
      <c r="AN995" s="68"/>
      <c r="AO995" s="68"/>
      <c r="AP995" s="68"/>
      <c r="AQ995" s="68"/>
      <c r="AR995" s="68"/>
      <c r="AS995" s="68"/>
      <c r="AT995" s="68"/>
      <c r="AU995" s="68"/>
      <c r="AV995" s="68"/>
      <c r="AW995" s="68"/>
      <c r="AX995" s="68"/>
      <c r="AY995" s="68"/>
      <c r="AZ995" s="68"/>
      <c r="BA995" s="68"/>
      <c r="BB995" s="68"/>
      <c r="BC995" s="68"/>
      <c r="BD995" s="68"/>
      <c r="BE995" s="68"/>
      <c r="BF995" s="68"/>
      <c r="BG995" s="68"/>
      <c r="BH995" s="68"/>
      <c r="BI995" s="68"/>
      <c r="BJ995" s="68"/>
      <c r="BK995" s="68"/>
      <c r="BL995" s="68"/>
      <c r="BM995" s="68"/>
      <c r="BN995" s="68"/>
      <c r="BO995" s="68"/>
      <c r="BP995" s="68"/>
      <c r="BQ995" s="68"/>
      <c r="BR995" s="68"/>
      <c r="BS995" s="68"/>
      <c r="BT995" s="68"/>
      <c r="BU995" s="68"/>
      <c r="BV995" s="68"/>
      <c r="BW995" s="68"/>
      <c r="BX995" s="68"/>
      <c r="BY995" s="68"/>
      <c r="BZ995" s="68"/>
      <c r="CA995" s="68"/>
      <c r="CB995" s="68"/>
      <c r="CC995" s="68"/>
    </row>
    <row r="996" spans="1:81" ht="15.75" x14ac:dyDescent="0.25">
      <c r="A996" s="68"/>
      <c r="B996" s="68"/>
      <c r="C996" s="68"/>
      <c r="D996" s="69"/>
      <c r="E996" s="68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  <c r="AB996" s="68"/>
      <c r="AC996" s="68"/>
      <c r="AD996" s="68"/>
      <c r="AE996" s="68"/>
      <c r="AF996" s="68"/>
      <c r="AG996" s="68"/>
      <c r="AH996" s="68"/>
      <c r="AI996" s="68"/>
      <c r="AJ996" s="68"/>
      <c r="AK996" s="68"/>
      <c r="AL996" s="68"/>
      <c r="AM996" s="68"/>
      <c r="AN996" s="68"/>
      <c r="AO996" s="68"/>
      <c r="AP996" s="68"/>
      <c r="AQ996" s="68"/>
      <c r="AR996" s="68"/>
      <c r="AS996" s="68"/>
      <c r="AT996" s="68"/>
      <c r="AU996" s="68"/>
      <c r="AV996" s="68"/>
      <c r="AW996" s="68"/>
      <c r="AX996" s="68"/>
      <c r="AY996" s="68"/>
      <c r="AZ996" s="68"/>
      <c r="BA996" s="68"/>
      <c r="BB996" s="68"/>
      <c r="BC996" s="68"/>
      <c r="BD996" s="68"/>
      <c r="BE996" s="68"/>
      <c r="BF996" s="68"/>
      <c r="BG996" s="68"/>
      <c r="BH996" s="68"/>
      <c r="BI996" s="68"/>
      <c r="BJ996" s="68"/>
      <c r="BK996" s="68"/>
      <c r="BL996" s="68"/>
      <c r="BM996" s="68"/>
      <c r="BN996" s="68"/>
      <c r="BO996" s="68"/>
      <c r="BP996" s="68"/>
      <c r="BQ996" s="68"/>
      <c r="BR996" s="68"/>
      <c r="BS996" s="68"/>
      <c r="BT996" s="68"/>
      <c r="BU996" s="68"/>
      <c r="BV996" s="68"/>
      <c r="BW996" s="68"/>
      <c r="BX996" s="68"/>
      <c r="BY996" s="68"/>
      <c r="BZ996" s="68"/>
      <c r="CA996" s="68"/>
      <c r="CB996" s="68"/>
      <c r="CC996" s="68"/>
    </row>
    <row r="997" spans="1:81" ht="15.75" x14ac:dyDescent="0.25">
      <c r="A997" s="68"/>
      <c r="B997" s="68"/>
      <c r="C997" s="68"/>
      <c r="D997" s="69"/>
      <c r="E997" s="68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  <c r="AB997" s="68"/>
      <c r="AC997" s="68"/>
      <c r="AD997" s="68"/>
      <c r="AE997" s="68"/>
      <c r="AF997" s="68"/>
      <c r="AG997" s="68"/>
      <c r="AH997" s="68"/>
      <c r="AI997" s="68"/>
      <c r="AJ997" s="68"/>
      <c r="AK997" s="68"/>
      <c r="AL997" s="68"/>
      <c r="AM997" s="68"/>
      <c r="AN997" s="68"/>
      <c r="AO997" s="68"/>
      <c r="AP997" s="68"/>
      <c r="AQ997" s="68"/>
      <c r="AR997" s="68"/>
      <c r="AS997" s="68"/>
      <c r="AT997" s="68"/>
      <c r="AU997" s="68"/>
      <c r="AV997" s="68"/>
      <c r="AW997" s="68"/>
      <c r="AX997" s="68"/>
      <c r="AY997" s="68"/>
      <c r="AZ997" s="68"/>
      <c r="BA997" s="68"/>
      <c r="BB997" s="68"/>
      <c r="BC997" s="68"/>
      <c r="BD997" s="68"/>
      <c r="BE997" s="68"/>
      <c r="BF997" s="68"/>
      <c r="BG997" s="68"/>
      <c r="BH997" s="68"/>
      <c r="BI997" s="68"/>
      <c r="BJ997" s="68"/>
      <c r="BK997" s="68"/>
      <c r="BL997" s="68"/>
      <c r="BM997" s="68"/>
      <c r="BN997" s="68"/>
      <c r="BO997" s="68"/>
      <c r="BP997" s="68"/>
      <c r="BQ997" s="68"/>
      <c r="BR997" s="68"/>
      <c r="BS997" s="68"/>
      <c r="BT997" s="68"/>
      <c r="BU997" s="68"/>
      <c r="BV997" s="68"/>
      <c r="BW997" s="68"/>
      <c r="BX997" s="68"/>
      <c r="BY997" s="68"/>
      <c r="BZ997" s="68"/>
      <c r="CA997" s="68"/>
      <c r="CB997" s="68"/>
      <c r="CC997" s="68"/>
    </row>
    <row r="998" spans="1:81" ht="15.75" x14ac:dyDescent="0.25">
      <c r="A998" s="68"/>
      <c r="B998" s="68"/>
      <c r="C998" s="68"/>
      <c r="D998" s="69"/>
      <c r="E998" s="68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  <c r="AD998" s="68"/>
      <c r="AE998" s="68"/>
      <c r="AF998" s="68"/>
      <c r="AG998" s="68"/>
      <c r="AH998" s="68"/>
      <c r="AI998" s="68"/>
      <c r="AJ998" s="68"/>
      <c r="AK998" s="68"/>
      <c r="AL998" s="68"/>
      <c r="AM998" s="68"/>
      <c r="AN998" s="68"/>
      <c r="AO998" s="68"/>
      <c r="AP998" s="68"/>
      <c r="AQ998" s="68"/>
      <c r="AR998" s="68"/>
      <c r="AS998" s="68"/>
      <c r="AT998" s="68"/>
      <c r="AU998" s="68"/>
      <c r="AV998" s="68"/>
      <c r="AW998" s="68"/>
      <c r="AX998" s="68"/>
      <c r="AY998" s="68"/>
      <c r="AZ998" s="68"/>
      <c r="BA998" s="68"/>
      <c r="BB998" s="68"/>
      <c r="BC998" s="68"/>
      <c r="BD998" s="68"/>
      <c r="BE998" s="68"/>
      <c r="BF998" s="68"/>
      <c r="BG998" s="68"/>
      <c r="BH998" s="68"/>
      <c r="BI998" s="68"/>
      <c r="BJ998" s="68"/>
      <c r="BK998" s="68"/>
      <c r="BL998" s="68"/>
      <c r="BM998" s="68"/>
      <c r="BN998" s="68"/>
      <c r="BO998" s="68"/>
      <c r="BP998" s="68"/>
      <c r="BQ998" s="68"/>
      <c r="BR998" s="68"/>
      <c r="BS998" s="68"/>
      <c r="BT998" s="68"/>
      <c r="BU998" s="68"/>
      <c r="BV998" s="68"/>
      <c r="BW998" s="68"/>
      <c r="BX998" s="68"/>
      <c r="BY998" s="68"/>
      <c r="BZ998" s="68"/>
      <c r="CA998" s="68"/>
      <c r="CB998" s="68"/>
      <c r="CC998" s="68"/>
    </row>
  </sheetData>
  <mergeCells count="19">
    <mergeCell ref="D1:E1"/>
    <mergeCell ref="D2:E2"/>
    <mergeCell ref="D3:E3"/>
    <mergeCell ref="A5:AJ5"/>
    <mergeCell ref="AN5:BI5"/>
    <mergeCell ref="A6:AJ6"/>
    <mergeCell ref="AN6:AR6"/>
    <mergeCell ref="D8:E8"/>
    <mergeCell ref="D9:E9"/>
    <mergeCell ref="D10:E10"/>
    <mergeCell ref="W9:Y9"/>
    <mergeCell ref="Z9:AG9"/>
    <mergeCell ref="A7:B7"/>
    <mergeCell ref="D7:E7"/>
    <mergeCell ref="U7:AJ7"/>
    <mergeCell ref="A8:B8"/>
    <mergeCell ref="V8:AG8"/>
    <mergeCell ref="AH8:AJ8"/>
    <mergeCell ref="A9:B9"/>
  </mergeCells>
  <conditionalFormatting sqref="A11:BJ241">
    <cfRule type="expression" dxfId="1" priority="1">
      <formula>$AM11=0</formula>
    </cfRule>
  </conditionalFormatting>
  <conditionalFormatting sqref="K2">
    <cfRule type="notContainsBlanks" dxfId="0" priority="2">
      <formula>LEN(TRIM(K2))&gt;0</formula>
    </cfRule>
  </conditionalFormatting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rgb="FF92D050"/>
  </sheetPr>
  <dimension ref="A1:AA959"/>
  <sheetViews>
    <sheetView workbookViewId="0"/>
  </sheetViews>
  <sheetFormatPr defaultColWidth="14.42578125" defaultRowHeight="15" customHeight="1" x14ac:dyDescent="0.25"/>
  <cols>
    <col min="1" max="2" width="9.140625" customWidth="1"/>
    <col min="3" max="3" width="13.140625" customWidth="1"/>
    <col min="4" max="6" width="9.140625" customWidth="1"/>
    <col min="7" max="27" width="10" customWidth="1"/>
  </cols>
  <sheetData>
    <row r="1" spans="1:27" ht="87" customHeight="1" x14ac:dyDescent="0.25">
      <c r="A1" s="167" t="s">
        <v>443</v>
      </c>
      <c r="B1" s="168" t="s">
        <v>439</v>
      </c>
      <c r="C1" s="168" t="s">
        <v>444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ht="14.25" customHeight="1" x14ac:dyDescent="0.4">
      <c r="A2" s="154" t="str">
        <f ca="1">IFERROR(__xludf.DUMMYFUNCTION("FILTER('NEST DATA '!A:A,'NEST DATA '!AM:AM=1)"),"1P")</f>
        <v>1P</v>
      </c>
      <c r="B2" s="104">
        <f ca="1">IFERROR(__xludf.DUMMYFUNCTION("FILTER('NEST DATA '!U:U,'NEST DATA '!AM:AM=1)"),113)</f>
        <v>113</v>
      </c>
      <c r="C2" s="108">
        <f ca="1">IFERROR(__xludf.DUMMYFUNCTION("FILTER('NEST DATA '!X:X,'NEST DATA '!AM:AM=1)"),68)</f>
        <v>68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27" ht="14.25" customHeight="1" x14ac:dyDescent="0.25">
      <c r="A3" s="108" t="str">
        <f ca="1">IFERROR(__xludf.DUMMYFUNCTION("""COMPUTED_VALUE"""),"2P")</f>
        <v>2P</v>
      </c>
      <c r="B3" s="108">
        <f ca="1">IFERROR(__xludf.DUMMYFUNCTION("""COMPUTED_VALUE"""),99)</f>
        <v>99</v>
      </c>
      <c r="C3" s="108">
        <f ca="1">IFERROR(__xludf.DUMMYFUNCTION("""COMPUTED_VALUE"""),92)</f>
        <v>92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 spans="1:27" ht="14.25" customHeight="1" x14ac:dyDescent="0.25">
      <c r="A4" s="108" t="str">
        <f ca="1">IFERROR(__xludf.DUMMYFUNCTION("""COMPUTED_VALUE"""),"3P")</f>
        <v>3P</v>
      </c>
      <c r="B4" s="108" t="str">
        <f ca="1">IFERROR(__xludf.DUMMYFUNCTION("""COMPUTED_VALUE"""),"N.A.")</f>
        <v>N.A.</v>
      </c>
      <c r="C4" s="108" t="str">
        <f ca="1">IFERROR(__xludf.DUMMYFUNCTION("""COMPUTED_VALUE"""),"N.A.")</f>
        <v>N.A.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</row>
    <row r="5" spans="1:27" ht="14.25" customHeight="1" x14ac:dyDescent="0.25">
      <c r="A5" s="108" t="str">
        <f ca="1">IFERROR(__xludf.DUMMYFUNCTION("""COMPUTED_VALUE"""),"4K")</f>
        <v>4K</v>
      </c>
      <c r="B5" s="108">
        <f ca="1">IFERROR(__xludf.DUMMYFUNCTION("""COMPUTED_VALUE"""),117)</f>
        <v>117</v>
      </c>
      <c r="C5" s="108">
        <f ca="1">IFERROR(__xludf.DUMMYFUNCTION("""COMPUTED_VALUE"""),0)</f>
        <v>0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</row>
    <row r="6" spans="1:27" ht="14.25" customHeight="1" x14ac:dyDescent="0.25">
      <c r="A6" s="108" t="str">
        <f ca="1">IFERROR(__xludf.DUMMYFUNCTION("""COMPUTED_VALUE"""),"5K")</f>
        <v>5K</v>
      </c>
      <c r="B6" s="108">
        <f ca="1">IFERROR(__xludf.DUMMYFUNCTION("""COMPUTED_VALUE"""),95)</f>
        <v>95</v>
      </c>
      <c r="C6" s="108">
        <f ca="1">IFERROR(__xludf.DUMMYFUNCTION("""COMPUTED_VALUE"""),76)</f>
        <v>76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</row>
    <row r="7" spans="1:27" ht="14.25" customHeight="1" x14ac:dyDescent="0.25">
      <c r="A7" s="108" t="str">
        <f ca="1">IFERROR(__xludf.DUMMYFUNCTION("""COMPUTED_VALUE"""),"6P")</f>
        <v>6P</v>
      </c>
      <c r="B7" s="108">
        <f ca="1">IFERROR(__xludf.DUMMYFUNCTION("""COMPUTED_VALUE"""),40)</f>
        <v>40</v>
      </c>
      <c r="C7" s="108">
        <f ca="1">IFERROR(__xludf.DUMMYFUNCTION("""COMPUTED_VALUE"""),26)</f>
        <v>26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</row>
    <row r="8" spans="1:27" ht="14.25" customHeight="1" x14ac:dyDescent="0.25">
      <c r="A8" s="108" t="str">
        <f ca="1">IFERROR(__xludf.DUMMYFUNCTION("""COMPUTED_VALUE"""),"7P")</f>
        <v>7P</v>
      </c>
      <c r="B8" s="108">
        <f ca="1">IFERROR(__xludf.DUMMYFUNCTION("""COMPUTED_VALUE"""),140)</f>
        <v>140</v>
      </c>
      <c r="C8" s="108">
        <f ca="1">IFERROR(__xludf.DUMMYFUNCTION("""COMPUTED_VALUE"""),111)</f>
        <v>111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</row>
    <row r="9" spans="1:27" ht="14.25" customHeight="1" x14ac:dyDescent="0.25">
      <c r="A9" s="108" t="str">
        <f ca="1">IFERROR(__xludf.DUMMYFUNCTION("""COMPUTED_VALUE"""),"8P")</f>
        <v>8P</v>
      </c>
      <c r="B9" s="108">
        <f ca="1">IFERROR(__xludf.DUMMYFUNCTION("""COMPUTED_VALUE"""),58)</f>
        <v>58</v>
      </c>
      <c r="C9" s="108">
        <f ca="1">IFERROR(__xludf.DUMMYFUNCTION("""COMPUTED_VALUE"""),43)</f>
        <v>43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</row>
    <row r="10" spans="1:27" ht="14.25" customHeight="1" x14ac:dyDescent="0.25">
      <c r="A10" s="108" t="str">
        <f ca="1">IFERROR(__xludf.DUMMYFUNCTION("""COMPUTED_VALUE"""),"9K")</f>
        <v>9K</v>
      </c>
      <c r="B10" s="108">
        <f ca="1">IFERROR(__xludf.DUMMYFUNCTION("""COMPUTED_VALUE"""),65)</f>
        <v>65</v>
      </c>
      <c r="C10" s="108">
        <f ca="1">IFERROR(__xludf.DUMMYFUNCTION("""COMPUTED_VALUE"""),28)</f>
        <v>28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</row>
    <row r="11" spans="1:27" ht="14.25" customHeight="1" x14ac:dyDescent="0.25">
      <c r="A11" s="108" t="str">
        <f ca="1">IFERROR(__xludf.DUMMYFUNCTION("""COMPUTED_VALUE"""),"10P")</f>
        <v>10P</v>
      </c>
      <c r="B11" s="108">
        <f ca="1">IFERROR(__xludf.DUMMYFUNCTION("""COMPUTED_VALUE"""),133)</f>
        <v>133</v>
      </c>
      <c r="C11" s="108">
        <f ca="1">IFERROR(__xludf.DUMMYFUNCTION("""COMPUTED_VALUE"""),88)</f>
        <v>88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</row>
    <row r="12" spans="1:27" ht="14.25" customHeight="1" x14ac:dyDescent="0.25">
      <c r="A12" s="108" t="str">
        <f ca="1">IFERROR(__xludf.DUMMYFUNCTION("""COMPUTED_VALUE"""),"11K")</f>
        <v>11K</v>
      </c>
      <c r="B12" s="108" t="str">
        <f ca="1">IFERROR(__xludf.DUMMYFUNCTION("""COMPUTED_VALUE"""),"N.A.")</f>
        <v>N.A.</v>
      </c>
      <c r="C12" s="108" t="str">
        <f ca="1">IFERROR(__xludf.DUMMYFUNCTION("""COMPUTED_VALUE"""),"N.A.")</f>
        <v>N.A.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</row>
    <row r="13" spans="1:27" ht="14.25" customHeight="1" x14ac:dyDescent="0.25">
      <c r="A13" s="108" t="str">
        <f ca="1">IFERROR(__xludf.DUMMYFUNCTION("""COMPUTED_VALUE"""),"12K")</f>
        <v>12K</v>
      </c>
      <c r="B13" s="108">
        <f ca="1">IFERROR(__xludf.DUMMYFUNCTION("""COMPUTED_VALUE"""),111)</f>
        <v>111</v>
      </c>
      <c r="C13" s="108">
        <f ca="1">IFERROR(__xludf.DUMMYFUNCTION("""COMPUTED_VALUE"""),108)</f>
        <v>108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7" ht="14.25" customHeight="1" x14ac:dyDescent="0.25">
      <c r="A14" s="108" t="str">
        <f ca="1">IFERROR(__xludf.DUMMYFUNCTION("""COMPUTED_VALUE"""),"13P")</f>
        <v>13P</v>
      </c>
      <c r="B14" s="108">
        <f ca="1">IFERROR(__xludf.DUMMYFUNCTION("""COMPUTED_VALUE"""),113)</f>
        <v>113</v>
      </c>
      <c r="C14" s="108">
        <f ca="1">IFERROR(__xludf.DUMMYFUNCTION("""COMPUTED_VALUE"""),70)</f>
        <v>70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</row>
    <row r="15" spans="1:27" ht="14.25" customHeight="1" x14ac:dyDescent="0.25">
      <c r="A15" s="108" t="str">
        <f ca="1">IFERROR(__xludf.DUMMYFUNCTION("""COMPUTED_VALUE"""),"14K")</f>
        <v>14K</v>
      </c>
      <c r="B15" s="108">
        <f ca="1">IFERROR(__xludf.DUMMYFUNCTION("""COMPUTED_VALUE"""),118)</f>
        <v>118</v>
      </c>
      <c r="C15" s="108">
        <f ca="1">IFERROR(__xludf.DUMMYFUNCTION("""COMPUTED_VALUE"""),110)</f>
        <v>110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</row>
    <row r="16" spans="1:27" ht="14.25" customHeight="1" x14ac:dyDescent="0.25">
      <c r="A16" s="108" t="str">
        <f ca="1">IFERROR(__xludf.DUMMYFUNCTION("""COMPUTED_VALUE"""),"15P")</f>
        <v>15P</v>
      </c>
      <c r="B16" s="108">
        <f ca="1">IFERROR(__xludf.DUMMYFUNCTION("""COMPUTED_VALUE"""),65)</f>
        <v>65</v>
      </c>
      <c r="C16" s="108">
        <f ca="1">IFERROR(__xludf.DUMMYFUNCTION("""COMPUTED_VALUE"""),45)</f>
        <v>45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7" spans="1:27" ht="14.25" customHeight="1" x14ac:dyDescent="0.25">
      <c r="A17" s="108" t="str">
        <f ca="1">IFERROR(__xludf.DUMMYFUNCTION("""COMPUTED_VALUE"""),"16K")</f>
        <v>16K</v>
      </c>
      <c r="B17" s="108">
        <f ca="1">IFERROR(__xludf.DUMMYFUNCTION("""COMPUTED_VALUE"""),122)</f>
        <v>122</v>
      </c>
      <c r="C17" s="108">
        <f ca="1">IFERROR(__xludf.DUMMYFUNCTION("""COMPUTED_VALUE"""),95)</f>
        <v>95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 ht="14.25" customHeight="1" x14ac:dyDescent="0.25">
      <c r="A18" s="108" t="str">
        <f ca="1">IFERROR(__xludf.DUMMYFUNCTION("""COMPUTED_VALUE"""),"17K")</f>
        <v>17K</v>
      </c>
      <c r="B18" s="108">
        <f ca="1">IFERROR(__xludf.DUMMYFUNCTION("""COMPUTED_VALUE"""),104)</f>
        <v>104</v>
      </c>
      <c r="C18" s="108">
        <f ca="1">IFERROR(__xludf.DUMMYFUNCTION("""COMPUTED_VALUE"""),44)</f>
        <v>44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</row>
    <row r="19" spans="1:27" ht="14.25" customHeight="1" x14ac:dyDescent="0.25">
      <c r="A19" s="108" t="str">
        <f ca="1">IFERROR(__xludf.DUMMYFUNCTION("""COMPUTED_VALUE"""),"18P")</f>
        <v>18P</v>
      </c>
      <c r="B19" s="108">
        <f ca="1">IFERROR(__xludf.DUMMYFUNCTION("""COMPUTED_VALUE"""),149)</f>
        <v>149</v>
      </c>
      <c r="C19" s="108">
        <f ca="1">IFERROR(__xludf.DUMMYFUNCTION("""COMPUTED_VALUE"""),145)</f>
        <v>145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 spans="1:27" ht="14.25" customHeight="1" x14ac:dyDescent="0.25">
      <c r="A20" s="108" t="str">
        <f ca="1">IFERROR(__xludf.DUMMYFUNCTION("""COMPUTED_VALUE"""),"19P")</f>
        <v>19P</v>
      </c>
      <c r="B20" s="108">
        <f ca="1">IFERROR(__xludf.DUMMYFUNCTION("""COMPUTED_VALUE"""),149)</f>
        <v>149</v>
      </c>
      <c r="C20" s="108">
        <f ca="1">IFERROR(__xludf.DUMMYFUNCTION("""COMPUTED_VALUE"""),145)</f>
        <v>145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spans="1:27" ht="14.25" customHeight="1" x14ac:dyDescent="0.25">
      <c r="A21" s="108" t="str">
        <f ca="1">IFERROR(__xludf.DUMMYFUNCTION("""COMPUTED_VALUE"""),"20P")</f>
        <v>20P</v>
      </c>
      <c r="B21" s="108">
        <f ca="1">IFERROR(__xludf.DUMMYFUNCTION("""COMPUTED_VALUE"""),114)</f>
        <v>114</v>
      </c>
      <c r="C21" s="108">
        <f ca="1">IFERROR(__xludf.DUMMYFUNCTION("""COMPUTED_VALUE"""),99)</f>
        <v>99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spans="1:27" ht="14.25" customHeight="1" x14ac:dyDescent="0.25">
      <c r="A22" s="108" t="str">
        <f ca="1">IFERROR(__xludf.DUMMYFUNCTION("""COMPUTED_VALUE"""),"21K")</f>
        <v>21K</v>
      </c>
      <c r="B22" s="108">
        <f ca="1">IFERROR(__xludf.DUMMYFUNCTION("""COMPUTED_VALUE"""),137)</f>
        <v>137</v>
      </c>
      <c r="C22" s="108">
        <f ca="1">IFERROR(__xludf.DUMMYFUNCTION("""COMPUTED_VALUE"""),98)</f>
        <v>98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14.25" customHeight="1" x14ac:dyDescent="0.25">
      <c r="A23" s="108" t="str">
        <f ca="1">IFERROR(__xludf.DUMMYFUNCTION("""COMPUTED_VALUE"""),"22K")</f>
        <v>22K</v>
      </c>
      <c r="B23" s="108">
        <f ca="1">IFERROR(__xludf.DUMMYFUNCTION("""COMPUTED_VALUE"""),111)</f>
        <v>111</v>
      </c>
      <c r="C23" s="108">
        <f ca="1">IFERROR(__xludf.DUMMYFUNCTION("""COMPUTED_VALUE"""),54)</f>
        <v>54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</row>
    <row r="24" spans="1:27" ht="14.25" customHeight="1" x14ac:dyDescent="0.25">
      <c r="A24" s="108" t="str">
        <f ca="1">IFERROR(__xludf.DUMMYFUNCTION("""COMPUTED_VALUE"""),"23K")</f>
        <v>23K</v>
      </c>
      <c r="B24" s="108" t="str">
        <f ca="1">IFERROR(__xludf.DUMMYFUNCTION("""COMPUTED_VALUE"""),"N.A.")</f>
        <v>N.A.</v>
      </c>
      <c r="C24" s="108" t="str">
        <f ca="1">IFERROR(__xludf.DUMMYFUNCTION("""COMPUTED_VALUE"""),"N.A.")</f>
        <v>N.A.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14.25" customHeight="1" x14ac:dyDescent="0.25">
      <c r="A25" s="108" t="str">
        <f ca="1">IFERROR(__xludf.DUMMYFUNCTION("""COMPUTED_VALUE"""),"24K")</f>
        <v>24K</v>
      </c>
      <c r="B25" s="108">
        <f ca="1">IFERROR(__xludf.DUMMYFUNCTION("""COMPUTED_VALUE"""),129)</f>
        <v>129</v>
      </c>
      <c r="C25" s="108">
        <f ca="1">IFERROR(__xludf.DUMMYFUNCTION("""COMPUTED_VALUE"""),118)</f>
        <v>118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</row>
    <row r="26" spans="1:27" ht="14.25" customHeight="1" x14ac:dyDescent="0.25">
      <c r="A26" s="108" t="str">
        <f ca="1">IFERROR(__xludf.DUMMYFUNCTION("""COMPUTED_VALUE"""),"25P")</f>
        <v>25P</v>
      </c>
      <c r="B26" s="108">
        <f ca="1">IFERROR(__xludf.DUMMYFUNCTION("""COMPUTED_VALUE"""),160)</f>
        <v>160</v>
      </c>
      <c r="C26" s="108">
        <f ca="1">IFERROR(__xludf.DUMMYFUNCTION("""COMPUTED_VALUE"""),82)</f>
        <v>82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</row>
    <row r="27" spans="1:27" ht="14.25" customHeight="1" x14ac:dyDescent="0.25">
      <c r="A27" s="108" t="str">
        <f ca="1">IFERROR(__xludf.DUMMYFUNCTION("""COMPUTED_VALUE"""),"26P")</f>
        <v>26P</v>
      </c>
      <c r="B27" s="108">
        <f ca="1">IFERROR(__xludf.DUMMYFUNCTION("""COMPUTED_VALUE"""),126)</f>
        <v>126</v>
      </c>
      <c r="C27" s="108">
        <f ca="1">IFERROR(__xludf.DUMMYFUNCTION("""COMPUTED_VALUE"""),115)</f>
        <v>115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</row>
    <row r="28" spans="1:27" ht="14.25" customHeight="1" x14ac:dyDescent="0.25">
      <c r="A28" s="108" t="str">
        <f ca="1">IFERROR(__xludf.DUMMYFUNCTION("""COMPUTED_VALUE"""),"27P")</f>
        <v>27P</v>
      </c>
      <c r="B28" s="108">
        <f ca="1">IFERROR(__xludf.DUMMYFUNCTION("""COMPUTED_VALUE"""),107)</f>
        <v>107</v>
      </c>
      <c r="C28" s="108">
        <f ca="1">IFERROR(__xludf.DUMMYFUNCTION("""COMPUTED_VALUE"""),86)</f>
        <v>86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</row>
    <row r="29" spans="1:27" ht="14.25" customHeight="1" x14ac:dyDescent="0.25">
      <c r="A29" s="108" t="str">
        <f ca="1">IFERROR(__xludf.DUMMYFUNCTION("""COMPUTED_VALUE"""),"28K")</f>
        <v>28K</v>
      </c>
      <c r="B29" s="108">
        <f ca="1">IFERROR(__xludf.DUMMYFUNCTION("""COMPUTED_VALUE"""),81)</f>
        <v>81</v>
      </c>
      <c r="C29" s="108">
        <f ca="1">IFERROR(__xludf.DUMMYFUNCTION("""COMPUTED_VALUE"""),65)</f>
        <v>65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</row>
    <row r="30" spans="1:27" ht="14.25" customHeight="1" x14ac:dyDescent="0.25">
      <c r="A30" s="108" t="str">
        <f ca="1">IFERROR(__xludf.DUMMYFUNCTION("""COMPUTED_VALUE"""),"29K")</f>
        <v>29K</v>
      </c>
      <c r="B30" s="108">
        <f ca="1">IFERROR(__xludf.DUMMYFUNCTION("""COMPUTED_VALUE"""),65)</f>
        <v>65</v>
      </c>
      <c r="C30" s="108">
        <f ca="1">IFERROR(__xludf.DUMMYFUNCTION("""COMPUTED_VALUE"""),32)</f>
        <v>32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</row>
    <row r="31" spans="1:27" ht="14.25" customHeight="1" x14ac:dyDescent="0.25">
      <c r="A31" s="108" t="str">
        <f ca="1">IFERROR(__xludf.DUMMYFUNCTION("""COMPUTED_VALUE"""),"30K")</f>
        <v>30K</v>
      </c>
      <c r="B31" s="108" t="str">
        <f ca="1">IFERROR(__xludf.DUMMYFUNCTION("""COMPUTED_VALUE"""),"N.A.")</f>
        <v>N.A.</v>
      </c>
      <c r="C31" s="108" t="str">
        <f ca="1">IFERROR(__xludf.DUMMYFUNCTION("""COMPUTED_VALUE"""),"N.A.")</f>
        <v>N.A.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</row>
    <row r="32" spans="1:27" ht="14.25" customHeight="1" x14ac:dyDescent="0.25">
      <c r="A32" s="108" t="str">
        <f ca="1">IFERROR(__xludf.DUMMYFUNCTION("""COMPUTED_VALUE"""),"31K")</f>
        <v>31K</v>
      </c>
      <c r="B32" s="108">
        <f ca="1">IFERROR(__xludf.DUMMYFUNCTION("""COMPUTED_VALUE"""),112)</f>
        <v>112</v>
      </c>
      <c r="C32" s="108">
        <f ca="1">IFERROR(__xludf.DUMMYFUNCTION("""COMPUTED_VALUE"""),90)</f>
        <v>90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</row>
    <row r="33" spans="1:27" ht="14.25" customHeight="1" x14ac:dyDescent="0.25">
      <c r="A33" s="108" t="str">
        <f ca="1">IFERROR(__xludf.DUMMYFUNCTION("""COMPUTED_VALUE"""),"32K")</f>
        <v>32K</v>
      </c>
      <c r="B33" s="108">
        <f ca="1">IFERROR(__xludf.DUMMYFUNCTION("""COMPUTED_VALUE"""),117)</f>
        <v>117</v>
      </c>
      <c r="C33" s="108">
        <f ca="1">IFERROR(__xludf.DUMMYFUNCTION("""COMPUTED_VALUE"""),90)</f>
        <v>90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</row>
    <row r="34" spans="1:27" ht="14.25" customHeight="1" x14ac:dyDescent="0.25">
      <c r="A34" s="108" t="str">
        <f ca="1">IFERROR(__xludf.DUMMYFUNCTION("""COMPUTED_VALUE"""),"33P")</f>
        <v>33P</v>
      </c>
      <c r="B34" s="108">
        <f ca="1">IFERROR(__xludf.DUMMYFUNCTION("""COMPUTED_VALUE"""),104)</f>
        <v>104</v>
      </c>
      <c r="C34" s="108">
        <f ca="1">IFERROR(__xludf.DUMMYFUNCTION("""COMPUTED_VALUE"""),77)</f>
        <v>77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</row>
    <row r="35" spans="1:27" ht="14.25" customHeight="1" x14ac:dyDescent="0.25">
      <c r="A35" s="108" t="str">
        <f ca="1">IFERROR(__xludf.DUMMYFUNCTION("""COMPUTED_VALUE"""),"34K")</f>
        <v>34K</v>
      </c>
      <c r="B35" s="108">
        <f ca="1">IFERROR(__xludf.DUMMYFUNCTION("""COMPUTED_VALUE"""),63)</f>
        <v>63</v>
      </c>
      <c r="C35" s="108">
        <f ca="1">IFERROR(__xludf.DUMMYFUNCTION("""COMPUTED_VALUE"""),59)</f>
        <v>59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</row>
    <row r="36" spans="1:27" ht="14.25" customHeight="1" x14ac:dyDescent="0.25">
      <c r="A36" s="108" t="str">
        <f ca="1">IFERROR(__xludf.DUMMYFUNCTION("""COMPUTED_VALUE"""),"35K")</f>
        <v>35K</v>
      </c>
      <c r="B36" s="108" t="str">
        <f ca="1">IFERROR(__xludf.DUMMYFUNCTION("""COMPUTED_VALUE"""),"N.A.")</f>
        <v>N.A.</v>
      </c>
      <c r="C36" s="108" t="str">
        <f ca="1">IFERROR(__xludf.DUMMYFUNCTION("""COMPUTED_VALUE"""),"N.A.")</f>
        <v>N.A.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</row>
    <row r="37" spans="1:27" ht="14.25" customHeight="1" x14ac:dyDescent="0.25">
      <c r="A37" s="108" t="str">
        <f ca="1">IFERROR(__xludf.DUMMYFUNCTION("""COMPUTED_VALUE"""),"36K")</f>
        <v>36K</v>
      </c>
      <c r="B37" s="108" t="str">
        <f ca="1">IFERROR(__xludf.DUMMYFUNCTION("""COMPUTED_VALUE"""),"N.A.")</f>
        <v>N.A.</v>
      </c>
      <c r="C37" s="108" t="str">
        <f ca="1">IFERROR(__xludf.DUMMYFUNCTION("""COMPUTED_VALUE"""),"N.A.")</f>
        <v>N.A.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</row>
    <row r="38" spans="1:27" ht="14.25" customHeight="1" x14ac:dyDescent="0.25">
      <c r="A38" s="108" t="str">
        <f ca="1">IFERROR(__xludf.DUMMYFUNCTION("""COMPUTED_VALUE"""),"37K")</f>
        <v>37K</v>
      </c>
      <c r="B38" s="108">
        <f ca="1">IFERROR(__xludf.DUMMYFUNCTION("""COMPUTED_VALUE"""),106)</f>
        <v>106</v>
      </c>
      <c r="C38" s="108">
        <f ca="1">IFERROR(__xludf.DUMMYFUNCTION("""COMPUTED_VALUE"""),94)</f>
        <v>94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</row>
    <row r="39" spans="1:27" ht="14.25" customHeight="1" x14ac:dyDescent="0.25">
      <c r="A39" s="108" t="str">
        <f ca="1">IFERROR(__xludf.DUMMYFUNCTION("""COMPUTED_VALUE"""),"38P")</f>
        <v>38P</v>
      </c>
      <c r="B39" s="108" t="str">
        <f ca="1">IFERROR(__xludf.DUMMYFUNCTION("""COMPUTED_VALUE"""),"N.A.")</f>
        <v>N.A.</v>
      </c>
      <c r="C39" s="108" t="str">
        <f ca="1">IFERROR(__xludf.DUMMYFUNCTION("""COMPUTED_VALUE"""),"N.A.")</f>
        <v>N.A.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</row>
    <row r="40" spans="1:27" ht="14.25" customHeight="1" x14ac:dyDescent="0.25">
      <c r="A40" s="108" t="str">
        <f ca="1">IFERROR(__xludf.DUMMYFUNCTION("""COMPUTED_VALUE"""),"39K")</f>
        <v>39K</v>
      </c>
      <c r="B40" s="108" t="str">
        <f ca="1">IFERROR(__xludf.DUMMYFUNCTION("""COMPUTED_VALUE"""),"N.A.")</f>
        <v>N.A.</v>
      </c>
      <c r="C40" s="108" t="str">
        <f ca="1">IFERROR(__xludf.DUMMYFUNCTION("""COMPUTED_VALUE"""),"N.A.")</f>
        <v>N.A.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</row>
    <row r="41" spans="1:27" ht="14.25" customHeight="1" x14ac:dyDescent="0.25">
      <c r="A41" s="108" t="str">
        <f ca="1">IFERROR(__xludf.DUMMYFUNCTION("""COMPUTED_VALUE"""),"40P")</f>
        <v>40P</v>
      </c>
      <c r="B41" s="108">
        <f ca="1">IFERROR(__xludf.DUMMYFUNCTION("""COMPUTED_VALUE"""),102)</f>
        <v>102</v>
      </c>
      <c r="C41" s="108">
        <f ca="1">IFERROR(__xludf.DUMMYFUNCTION("""COMPUTED_VALUE"""),62)</f>
        <v>62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</row>
    <row r="42" spans="1:27" ht="14.25" customHeight="1" x14ac:dyDescent="0.25">
      <c r="A42" s="108" t="str">
        <f ca="1">IFERROR(__xludf.DUMMYFUNCTION("""COMPUTED_VALUE"""),"41P")</f>
        <v>41P</v>
      </c>
      <c r="B42" s="108">
        <f ca="1">IFERROR(__xludf.DUMMYFUNCTION("""COMPUTED_VALUE"""),86)</f>
        <v>86</v>
      </c>
      <c r="C42" s="108">
        <f ca="1">IFERROR(__xludf.DUMMYFUNCTION("""COMPUTED_VALUE"""),63)</f>
        <v>63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</row>
    <row r="43" spans="1:27" ht="14.25" customHeight="1" x14ac:dyDescent="0.25">
      <c r="A43" s="108" t="str">
        <f ca="1">IFERROR(__xludf.DUMMYFUNCTION("""COMPUTED_VALUE"""),"42K")</f>
        <v>42K</v>
      </c>
      <c r="B43" s="108" t="str">
        <f ca="1">IFERROR(__xludf.DUMMYFUNCTION("""COMPUTED_VALUE"""),"N.A.")</f>
        <v>N.A.</v>
      </c>
      <c r="C43" s="108" t="str">
        <f ca="1">IFERROR(__xludf.DUMMYFUNCTION("""COMPUTED_VALUE"""),"N.A.")</f>
        <v>N.A.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</row>
    <row r="44" spans="1:27" ht="14.25" customHeight="1" x14ac:dyDescent="0.25">
      <c r="A44" s="108" t="str">
        <f ca="1">IFERROR(__xludf.DUMMYFUNCTION("""COMPUTED_VALUE"""),"43K")</f>
        <v>43K</v>
      </c>
      <c r="B44" s="108" t="str">
        <f ca="1">IFERROR(__xludf.DUMMYFUNCTION("""COMPUTED_VALUE"""),"N.A.")</f>
        <v>N.A.</v>
      </c>
      <c r="C44" s="108" t="str">
        <f ca="1">IFERROR(__xludf.DUMMYFUNCTION("""COMPUTED_VALUE"""),"N.A.")</f>
        <v>N.A.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</row>
    <row r="45" spans="1:27" ht="14.25" customHeight="1" x14ac:dyDescent="0.25">
      <c r="A45" s="108" t="str">
        <f ca="1">IFERROR(__xludf.DUMMYFUNCTION("""COMPUTED_VALUE"""),"44K")</f>
        <v>44K</v>
      </c>
      <c r="B45" s="108">
        <f ca="1">IFERROR(__xludf.DUMMYFUNCTION("""COMPUTED_VALUE"""),68)</f>
        <v>68</v>
      </c>
      <c r="C45" s="108">
        <f ca="1">IFERROR(__xludf.DUMMYFUNCTION("""COMPUTED_VALUE"""),53)</f>
        <v>53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4.25" customHeight="1" x14ac:dyDescent="0.25">
      <c r="A46" s="108" t="str">
        <f ca="1">IFERROR(__xludf.DUMMYFUNCTION("""COMPUTED_VALUE"""),"45K")</f>
        <v>45K</v>
      </c>
      <c r="B46" s="108">
        <f ca="1">IFERROR(__xludf.DUMMYFUNCTION("""COMPUTED_VALUE"""),121)</f>
        <v>121</v>
      </c>
      <c r="C46" s="108">
        <f ca="1">IFERROR(__xludf.DUMMYFUNCTION("""COMPUTED_VALUE"""),105)</f>
        <v>105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27" ht="14.25" customHeight="1" x14ac:dyDescent="0.25">
      <c r="A47" s="108" t="str">
        <f ca="1">IFERROR(__xludf.DUMMYFUNCTION("""COMPUTED_VALUE"""),"46K")</f>
        <v>46K</v>
      </c>
      <c r="B47" s="108" t="str">
        <f ca="1">IFERROR(__xludf.DUMMYFUNCTION("""COMPUTED_VALUE"""),"N.A.")</f>
        <v>N.A.</v>
      </c>
      <c r="C47" s="108" t="str">
        <f ca="1">IFERROR(__xludf.DUMMYFUNCTION("""COMPUTED_VALUE"""),"N.A.")</f>
        <v>N.A.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</row>
    <row r="48" spans="1:27" ht="14.25" customHeight="1" x14ac:dyDescent="0.25">
      <c r="A48" s="108" t="str">
        <f ca="1">IFERROR(__xludf.DUMMYFUNCTION("""COMPUTED_VALUE"""),"47K")</f>
        <v>47K</v>
      </c>
      <c r="B48" s="108" t="str">
        <f ca="1">IFERROR(__xludf.DUMMYFUNCTION("""COMPUTED_VALUE"""),"N.A.")</f>
        <v>N.A.</v>
      </c>
      <c r="C48" s="108" t="str">
        <f ca="1">IFERROR(__xludf.DUMMYFUNCTION("""COMPUTED_VALUE"""),"N.A.")</f>
        <v>N.A.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</row>
    <row r="49" spans="1:27" ht="14.25" customHeight="1" x14ac:dyDescent="0.25">
      <c r="A49" s="108" t="str">
        <f ca="1">IFERROR(__xludf.DUMMYFUNCTION("""COMPUTED_VALUE"""),"48K")</f>
        <v>48K</v>
      </c>
      <c r="B49" s="108" t="str">
        <f ca="1">IFERROR(__xludf.DUMMYFUNCTION("""COMPUTED_VALUE"""),"N.A.")</f>
        <v>N.A.</v>
      </c>
      <c r="C49" s="108" t="str">
        <f ca="1">IFERROR(__xludf.DUMMYFUNCTION("""COMPUTED_VALUE"""),"N.A.")</f>
        <v>N.A.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</row>
    <row r="50" spans="1:27" ht="14.25" customHeight="1" x14ac:dyDescent="0.25">
      <c r="A50" s="108" t="str">
        <f ca="1">IFERROR(__xludf.DUMMYFUNCTION("""COMPUTED_VALUE"""),"49K")</f>
        <v>49K</v>
      </c>
      <c r="B50" s="108">
        <f ca="1">IFERROR(__xludf.DUMMYFUNCTION("""COMPUTED_VALUE"""),84)</f>
        <v>84</v>
      </c>
      <c r="C50" s="108">
        <f ca="1">IFERROR(__xludf.DUMMYFUNCTION("""COMPUTED_VALUE"""),79)</f>
        <v>79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</row>
    <row r="51" spans="1:27" ht="14.25" customHeight="1" x14ac:dyDescent="0.25">
      <c r="A51" s="108" t="str">
        <f ca="1">IFERROR(__xludf.DUMMYFUNCTION("""COMPUTED_VALUE"""),"50K")</f>
        <v>50K</v>
      </c>
      <c r="B51" s="108">
        <f ca="1">IFERROR(__xludf.DUMMYFUNCTION("""COMPUTED_VALUE"""),65)</f>
        <v>65</v>
      </c>
      <c r="C51" s="108">
        <f ca="1">IFERROR(__xludf.DUMMYFUNCTION("""COMPUTED_VALUE"""),32)</f>
        <v>32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</row>
    <row r="52" spans="1:27" ht="14.25" customHeight="1" x14ac:dyDescent="0.25">
      <c r="A52" s="108" t="str">
        <f ca="1">IFERROR(__xludf.DUMMYFUNCTION("""COMPUTED_VALUE"""),"51P")</f>
        <v>51P</v>
      </c>
      <c r="B52" s="108" t="str">
        <f ca="1">IFERROR(__xludf.DUMMYFUNCTION("""COMPUTED_VALUE"""),"N.A.")</f>
        <v>N.A.</v>
      </c>
      <c r="C52" s="108" t="str">
        <f ca="1">IFERROR(__xludf.DUMMYFUNCTION("""COMPUTED_VALUE"""),"N.A.")</f>
        <v>N.A.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</row>
    <row r="53" spans="1:27" ht="14.25" customHeight="1" x14ac:dyDescent="0.25">
      <c r="A53" s="108" t="str">
        <f ca="1">IFERROR(__xludf.DUMMYFUNCTION("""COMPUTED_VALUE"""),"52K")</f>
        <v>52K</v>
      </c>
      <c r="B53" s="108" t="str">
        <f ca="1">IFERROR(__xludf.DUMMYFUNCTION("""COMPUTED_VALUE"""),"N.A.")</f>
        <v>N.A.</v>
      </c>
      <c r="C53" s="108" t="str">
        <f ca="1">IFERROR(__xludf.DUMMYFUNCTION("""COMPUTED_VALUE"""),"N.A.")</f>
        <v>N.A.</v>
      </c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</row>
    <row r="54" spans="1:27" ht="14.25" customHeight="1" x14ac:dyDescent="0.25">
      <c r="A54" s="108" t="str">
        <f ca="1">IFERROR(__xludf.DUMMYFUNCTION("""COMPUTED_VALUE"""),"53K")</f>
        <v>53K</v>
      </c>
      <c r="B54" s="108">
        <f ca="1">IFERROR(__xludf.DUMMYFUNCTION("""COMPUTED_VALUE"""),81)</f>
        <v>81</v>
      </c>
      <c r="C54" s="108">
        <f ca="1">IFERROR(__xludf.DUMMYFUNCTION("""COMPUTED_VALUE"""),77)</f>
        <v>77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</row>
    <row r="55" spans="1:27" ht="14.25" customHeight="1" x14ac:dyDescent="0.25">
      <c r="A55" s="108" t="str">
        <f ca="1">IFERROR(__xludf.DUMMYFUNCTION("""COMPUTED_VALUE"""),"54K")</f>
        <v>54K</v>
      </c>
      <c r="B55" s="108">
        <f ca="1">IFERROR(__xludf.DUMMYFUNCTION("""COMPUTED_VALUE"""),130)</f>
        <v>130</v>
      </c>
      <c r="C55" s="108">
        <f ca="1">IFERROR(__xludf.DUMMYFUNCTION("""COMPUTED_VALUE"""),124)</f>
        <v>124</v>
      </c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</row>
    <row r="56" spans="1:27" ht="14.25" customHeight="1" x14ac:dyDescent="0.25">
      <c r="A56" s="108" t="str">
        <f ca="1">IFERROR(__xludf.DUMMYFUNCTION("""COMPUTED_VALUE"""),"55K")</f>
        <v>55K</v>
      </c>
      <c r="B56" s="108" t="str">
        <f ca="1">IFERROR(__xludf.DUMMYFUNCTION("""COMPUTED_VALUE"""),"N.A.")</f>
        <v>N.A.</v>
      </c>
      <c r="C56" s="108" t="str">
        <f ca="1">IFERROR(__xludf.DUMMYFUNCTION("""COMPUTED_VALUE"""),"N.A.")</f>
        <v>N.A.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</row>
    <row r="57" spans="1:27" ht="14.25" customHeight="1" x14ac:dyDescent="0.25">
      <c r="A57" s="108" t="str">
        <f ca="1">IFERROR(__xludf.DUMMYFUNCTION("""COMPUTED_VALUE"""),"56K")</f>
        <v>56K</v>
      </c>
      <c r="B57" s="108">
        <f ca="1">IFERROR(__xludf.DUMMYFUNCTION("""COMPUTED_VALUE"""),70)</f>
        <v>70</v>
      </c>
      <c r="C57" s="108">
        <f ca="1">IFERROR(__xludf.DUMMYFUNCTION("""COMPUTED_VALUE"""),63)</f>
        <v>63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27" ht="14.25" customHeight="1" x14ac:dyDescent="0.25">
      <c r="A58" s="108" t="str">
        <f ca="1">IFERROR(__xludf.DUMMYFUNCTION("""COMPUTED_VALUE"""),"57K")</f>
        <v>57K</v>
      </c>
      <c r="B58" s="108" t="str">
        <f ca="1">IFERROR(__xludf.DUMMYFUNCTION("""COMPUTED_VALUE"""),"N.A.")</f>
        <v>N.A.</v>
      </c>
      <c r="C58" s="108">
        <f ca="1">IFERROR(__xludf.DUMMYFUNCTION("""COMPUTED_VALUE"""),108)</f>
        <v>108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  <row r="59" spans="1:27" ht="14.25" customHeight="1" x14ac:dyDescent="0.25">
      <c r="A59" s="108" t="str">
        <f ca="1">IFERROR(__xludf.DUMMYFUNCTION("""COMPUTED_VALUE"""),"58K")</f>
        <v>58K</v>
      </c>
      <c r="B59" s="108">
        <f ca="1">IFERROR(__xludf.DUMMYFUNCTION("""COMPUTED_VALUE"""),122)</f>
        <v>122</v>
      </c>
      <c r="C59" s="108">
        <f ca="1">IFERROR(__xludf.DUMMYFUNCTION("""COMPUTED_VALUE"""),90)</f>
        <v>90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</row>
    <row r="60" spans="1:27" ht="14.25" customHeight="1" x14ac:dyDescent="0.25">
      <c r="A60" s="108" t="str">
        <f ca="1">IFERROR(__xludf.DUMMYFUNCTION("""COMPUTED_VALUE"""),"59K")</f>
        <v>59K</v>
      </c>
      <c r="B60" s="108" t="str">
        <f ca="1">IFERROR(__xludf.DUMMYFUNCTION("""COMPUTED_VALUE"""),"N.A.")</f>
        <v>N.A.</v>
      </c>
      <c r="C60" s="108" t="str">
        <f ca="1">IFERROR(__xludf.DUMMYFUNCTION("""COMPUTED_VALUE"""),"N.A.")</f>
        <v>N.A.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</row>
    <row r="61" spans="1:27" ht="14.25" customHeight="1" x14ac:dyDescent="0.25">
      <c r="A61" s="108" t="str">
        <f ca="1">IFERROR(__xludf.DUMMYFUNCTION("""COMPUTED_VALUE"""),"60P")</f>
        <v>60P</v>
      </c>
      <c r="B61" s="108" t="str">
        <f ca="1">IFERROR(__xludf.DUMMYFUNCTION("""COMPUTED_VALUE"""),"N.A.")</f>
        <v>N.A.</v>
      </c>
      <c r="C61" s="108" t="str">
        <f ca="1">IFERROR(__xludf.DUMMYFUNCTION("""COMPUTED_VALUE"""),"N.A.")</f>
        <v>N.A.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</row>
    <row r="62" spans="1:27" ht="14.25" customHeight="1" x14ac:dyDescent="0.25">
      <c r="A62" s="108" t="str">
        <f ca="1">IFERROR(__xludf.DUMMYFUNCTION("""COMPUTED_VALUE"""),"61K")</f>
        <v>61K</v>
      </c>
      <c r="B62" s="108" t="str">
        <f ca="1">IFERROR(__xludf.DUMMYFUNCTION("""COMPUTED_VALUE"""),"N.A.")</f>
        <v>N.A.</v>
      </c>
      <c r="C62" s="108" t="str">
        <f ca="1">IFERROR(__xludf.DUMMYFUNCTION("""COMPUTED_VALUE"""),"N.A.")</f>
        <v>N.A.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</row>
    <row r="63" spans="1:27" ht="14.25" customHeight="1" x14ac:dyDescent="0.25">
      <c r="A63" s="108" t="str">
        <f ca="1">IFERROR(__xludf.DUMMYFUNCTION("""COMPUTED_VALUE"""),"62K")</f>
        <v>62K</v>
      </c>
      <c r="B63" s="108">
        <f ca="1">IFERROR(__xludf.DUMMYFUNCTION("""COMPUTED_VALUE"""),76)</f>
        <v>76</v>
      </c>
      <c r="C63" s="108">
        <f ca="1">IFERROR(__xludf.DUMMYFUNCTION("""COMPUTED_VALUE"""),1)</f>
        <v>1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</row>
    <row r="64" spans="1:27" ht="14.25" customHeight="1" x14ac:dyDescent="0.25">
      <c r="A64" s="108" t="str">
        <f ca="1">IFERROR(__xludf.DUMMYFUNCTION("""COMPUTED_VALUE"""),"63K")</f>
        <v>63K</v>
      </c>
      <c r="B64" s="108">
        <f ca="1">IFERROR(__xludf.DUMMYFUNCTION("""COMPUTED_VALUE"""),105)</f>
        <v>105</v>
      </c>
      <c r="C64" s="108">
        <f ca="1">IFERROR(__xludf.DUMMYFUNCTION("""COMPUTED_VALUE"""),91)</f>
        <v>91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</row>
    <row r="65" spans="1:27" ht="14.25" customHeight="1" x14ac:dyDescent="0.25">
      <c r="A65" s="108" t="str">
        <f ca="1">IFERROR(__xludf.DUMMYFUNCTION("""COMPUTED_VALUE"""),"64P")</f>
        <v>64P</v>
      </c>
      <c r="B65" s="108">
        <f ca="1">IFERROR(__xludf.DUMMYFUNCTION("""COMPUTED_VALUE"""),81)</f>
        <v>81</v>
      </c>
      <c r="C65" s="108">
        <f ca="1">IFERROR(__xludf.DUMMYFUNCTION("""COMPUTED_VALUE"""),70)</f>
        <v>70</v>
      </c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</row>
    <row r="66" spans="1:27" ht="14.25" customHeight="1" x14ac:dyDescent="0.25">
      <c r="A66" s="108" t="str">
        <f ca="1">IFERROR(__xludf.DUMMYFUNCTION("""COMPUTED_VALUE"""),"65K")</f>
        <v>65K</v>
      </c>
      <c r="B66" s="108">
        <f ca="1">IFERROR(__xludf.DUMMYFUNCTION("""COMPUTED_VALUE"""),75)</f>
        <v>75</v>
      </c>
      <c r="C66" s="108">
        <f ca="1">IFERROR(__xludf.DUMMYFUNCTION("""COMPUTED_VALUE"""),23)</f>
        <v>23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</row>
    <row r="67" spans="1:27" ht="14.25" customHeight="1" x14ac:dyDescent="0.25">
      <c r="A67" s="108" t="str">
        <f ca="1">IFERROR(__xludf.DUMMYFUNCTION("""COMPUTED_VALUE"""),"66P")</f>
        <v>66P</v>
      </c>
      <c r="B67" s="108">
        <f ca="1">IFERROR(__xludf.DUMMYFUNCTION("""COMPUTED_VALUE"""),105)</f>
        <v>105</v>
      </c>
      <c r="C67" s="108">
        <f ca="1">IFERROR(__xludf.DUMMYFUNCTION("""COMPUTED_VALUE"""),94)</f>
        <v>94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</row>
    <row r="68" spans="1:27" ht="14.25" customHeight="1" x14ac:dyDescent="0.25">
      <c r="A68" s="108" t="str">
        <f ca="1">IFERROR(__xludf.DUMMYFUNCTION("""COMPUTED_VALUE"""),"67K")</f>
        <v>67K</v>
      </c>
      <c r="B68" s="108">
        <f ca="1">IFERROR(__xludf.DUMMYFUNCTION("""COMPUTED_VALUE"""),83)</f>
        <v>83</v>
      </c>
      <c r="C68" s="108">
        <f ca="1">IFERROR(__xludf.DUMMYFUNCTION("""COMPUTED_VALUE"""),79)</f>
        <v>79</v>
      </c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</row>
    <row r="69" spans="1:27" ht="14.25" customHeight="1" x14ac:dyDescent="0.25">
      <c r="A69" s="108" t="str">
        <f ca="1">IFERROR(__xludf.DUMMYFUNCTION("""COMPUTED_VALUE"""),"68K")</f>
        <v>68K</v>
      </c>
      <c r="B69" s="108">
        <f ca="1">IFERROR(__xludf.DUMMYFUNCTION("""COMPUTED_VALUE"""),97)</f>
        <v>97</v>
      </c>
      <c r="C69" s="108">
        <f ca="1">IFERROR(__xludf.DUMMYFUNCTION("""COMPUTED_VALUE"""),94)</f>
        <v>94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</row>
    <row r="70" spans="1:27" ht="14.25" customHeight="1" x14ac:dyDescent="0.25">
      <c r="A70" s="108" t="str">
        <f ca="1">IFERROR(__xludf.DUMMYFUNCTION("""COMPUTED_VALUE"""),"69K")</f>
        <v>69K</v>
      </c>
      <c r="B70" s="108">
        <f ca="1">IFERROR(__xludf.DUMMYFUNCTION("""COMPUTED_VALUE"""),79)</f>
        <v>79</v>
      </c>
      <c r="C70" s="108">
        <f ca="1">IFERROR(__xludf.DUMMYFUNCTION("""COMPUTED_VALUE"""),67)</f>
        <v>67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</row>
    <row r="71" spans="1:27" ht="14.25" customHeight="1" x14ac:dyDescent="0.25">
      <c r="A71" s="108" t="str">
        <f ca="1">IFERROR(__xludf.DUMMYFUNCTION("""COMPUTED_VALUE"""),"70P")</f>
        <v>70P</v>
      </c>
      <c r="B71" s="108">
        <f ca="1">IFERROR(__xludf.DUMMYFUNCTION("""COMPUTED_VALUE"""),108)</f>
        <v>108</v>
      </c>
      <c r="C71" s="108">
        <f ca="1">IFERROR(__xludf.DUMMYFUNCTION("""COMPUTED_VALUE"""),100)</f>
        <v>100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</row>
    <row r="72" spans="1:27" ht="14.25" customHeight="1" x14ac:dyDescent="0.25">
      <c r="A72" s="108" t="str">
        <f ca="1">IFERROR(__xludf.DUMMYFUNCTION("""COMPUTED_VALUE"""),"71P")</f>
        <v>71P</v>
      </c>
      <c r="B72" s="108">
        <f ca="1">IFERROR(__xludf.DUMMYFUNCTION("""COMPUTED_VALUE"""),106)</f>
        <v>106</v>
      </c>
      <c r="C72" s="108">
        <f ca="1">IFERROR(__xludf.DUMMYFUNCTION("""COMPUTED_VALUE"""),88)</f>
        <v>88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</row>
    <row r="73" spans="1:27" ht="14.25" customHeight="1" x14ac:dyDescent="0.25">
      <c r="A73" s="108" t="str">
        <f ca="1">IFERROR(__xludf.DUMMYFUNCTION("""COMPUTED_VALUE"""),"72K")</f>
        <v>72K</v>
      </c>
      <c r="B73" s="108">
        <f ca="1">IFERROR(__xludf.DUMMYFUNCTION("""COMPUTED_VALUE"""),135)</f>
        <v>135</v>
      </c>
      <c r="C73" s="108">
        <f ca="1">IFERROR(__xludf.DUMMYFUNCTION("""COMPUTED_VALUE"""),114)</f>
        <v>114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</row>
    <row r="74" spans="1:27" ht="14.25" customHeight="1" x14ac:dyDescent="0.25">
      <c r="A74" s="108" t="str">
        <f ca="1">IFERROR(__xludf.DUMMYFUNCTION("""COMPUTED_VALUE"""),"73K")</f>
        <v>73K</v>
      </c>
      <c r="B74" s="108">
        <f ca="1">IFERROR(__xludf.DUMMYFUNCTION("""COMPUTED_VALUE"""),86)</f>
        <v>86</v>
      </c>
      <c r="C74" s="108">
        <f ca="1">IFERROR(__xludf.DUMMYFUNCTION("""COMPUTED_VALUE"""),33)</f>
        <v>33</v>
      </c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</row>
    <row r="75" spans="1:27" ht="14.25" customHeight="1" x14ac:dyDescent="0.25">
      <c r="A75" s="108" t="str">
        <f ca="1">IFERROR(__xludf.DUMMYFUNCTION("""COMPUTED_VALUE"""),"74K")</f>
        <v>74K</v>
      </c>
      <c r="B75" s="108" t="str">
        <f ca="1">IFERROR(__xludf.DUMMYFUNCTION("""COMPUTED_VALUE"""),"N.A.")</f>
        <v>N.A.</v>
      </c>
      <c r="C75" s="108" t="str">
        <f ca="1">IFERROR(__xludf.DUMMYFUNCTION("""COMPUTED_VALUE"""),"N.A.")</f>
        <v>N.A.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</row>
    <row r="76" spans="1:27" ht="15" customHeight="1" x14ac:dyDescent="0.25">
      <c r="A76" s="108" t="str">
        <f ca="1">IFERROR(__xludf.DUMMYFUNCTION("""COMPUTED_VALUE"""),"75K")</f>
        <v>75K</v>
      </c>
      <c r="B76" s="108">
        <f ca="1">IFERROR(__xludf.DUMMYFUNCTION("""COMPUTED_VALUE"""),137)</f>
        <v>137</v>
      </c>
      <c r="C76" s="108">
        <f ca="1">IFERROR(__xludf.DUMMYFUNCTION("""COMPUTED_VALUE"""),50)</f>
        <v>50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</row>
    <row r="77" spans="1:27" ht="14.25" customHeight="1" x14ac:dyDescent="0.25">
      <c r="A77" s="108" t="str">
        <f ca="1">IFERROR(__xludf.DUMMYFUNCTION("""COMPUTED_VALUE"""),"77P")</f>
        <v>77P</v>
      </c>
      <c r="B77" s="108" t="str">
        <f ca="1">IFERROR(__xludf.DUMMYFUNCTION("""COMPUTED_VALUE"""),"N.A.")</f>
        <v>N.A.</v>
      </c>
      <c r="C77" s="108" t="str">
        <f ca="1">IFERROR(__xludf.DUMMYFUNCTION("""COMPUTED_VALUE"""),"N.A.")</f>
        <v>N.A.</v>
      </c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</row>
    <row r="78" spans="1:27" ht="14.25" customHeight="1" x14ac:dyDescent="0.25">
      <c r="A78" s="108" t="str">
        <f ca="1">IFERROR(__xludf.DUMMYFUNCTION("""COMPUTED_VALUE"""),"78K")</f>
        <v>78K</v>
      </c>
      <c r="B78" s="108">
        <f ca="1">IFERROR(__xludf.DUMMYFUNCTION("""COMPUTED_VALUE"""),106)</f>
        <v>106</v>
      </c>
      <c r="C78" s="108">
        <f ca="1">IFERROR(__xludf.DUMMYFUNCTION("""COMPUTED_VALUE"""),59)</f>
        <v>59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</row>
    <row r="79" spans="1:27" ht="14.25" customHeight="1" x14ac:dyDescent="0.25">
      <c r="A79" s="108" t="str">
        <f ca="1">IFERROR(__xludf.DUMMYFUNCTION("""COMPUTED_VALUE"""),"79P")</f>
        <v>79P</v>
      </c>
      <c r="B79" s="108">
        <f ca="1">IFERROR(__xludf.DUMMYFUNCTION("""COMPUTED_VALUE"""),93)</f>
        <v>93</v>
      </c>
      <c r="C79" s="108">
        <f ca="1">IFERROR(__xludf.DUMMYFUNCTION("""COMPUTED_VALUE"""),88)</f>
        <v>88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</row>
    <row r="80" spans="1:27" ht="14.25" customHeight="1" x14ac:dyDescent="0.25">
      <c r="A80" s="108" t="str">
        <f ca="1">IFERROR(__xludf.DUMMYFUNCTION("""COMPUTED_VALUE"""),"80P")</f>
        <v>80P</v>
      </c>
      <c r="B80" s="108" t="str">
        <f ca="1">IFERROR(__xludf.DUMMYFUNCTION("""COMPUTED_VALUE"""),"N.A.")</f>
        <v>N.A.</v>
      </c>
      <c r="C80" s="108" t="str">
        <f ca="1">IFERROR(__xludf.DUMMYFUNCTION("""COMPUTED_VALUE"""),"N.A.")</f>
        <v>N.A.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</row>
    <row r="81" spans="1:27" ht="14.25" customHeight="1" x14ac:dyDescent="0.25">
      <c r="A81" s="108" t="str">
        <f ca="1">IFERROR(__xludf.DUMMYFUNCTION("""COMPUTED_VALUE"""),"82K")</f>
        <v>82K</v>
      </c>
      <c r="B81" s="108" t="str">
        <f ca="1">IFERROR(__xludf.DUMMYFUNCTION("""COMPUTED_VALUE"""),"N.A.")</f>
        <v>N.A.</v>
      </c>
      <c r="C81" s="108" t="str">
        <f ca="1">IFERROR(__xludf.DUMMYFUNCTION("""COMPUTED_VALUE"""),"N.A.")</f>
        <v>N.A.</v>
      </c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</row>
    <row r="82" spans="1:27" ht="14.25" customHeight="1" x14ac:dyDescent="0.25">
      <c r="A82" s="108" t="str">
        <f ca="1">IFERROR(__xludf.DUMMYFUNCTION("""COMPUTED_VALUE"""),"85P")</f>
        <v>85P</v>
      </c>
      <c r="B82" s="108">
        <f ca="1">IFERROR(__xludf.DUMMYFUNCTION("""COMPUTED_VALUE"""),95)</f>
        <v>95</v>
      </c>
      <c r="C82" s="108">
        <f ca="1">IFERROR(__xludf.DUMMYFUNCTION("""COMPUTED_VALUE"""),92)</f>
        <v>92</v>
      </c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</row>
    <row r="83" spans="1:27" ht="14.25" customHeight="1" x14ac:dyDescent="0.25">
      <c r="A83" s="108" t="str">
        <f ca="1">IFERROR(__xludf.DUMMYFUNCTION("""COMPUTED_VALUE"""),"86K")</f>
        <v>86K</v>
      </c>
      <c r="B83" s="108">
        <f ca="1">IFERROR(__xludf.DUMMYFUNCTION("""COMPUTED_VALUE"""),72)</f>
        <v>72</v>
      </c>
      <c r="C83" s="108">
        <f ca="1">IFERROR(__xludf.DUMMYFUNCTION("""COMPUTED_VALUE"""),71)</f>
        <v>71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</row>
    <row r="84" spans="1:27" ht="14.25" customHeight="1" x14ac:dyDescent="0.25">
      <c r="A84" s="108" t="str">
        <f ca="1">IFERROR(__xludf.DUMMYFUNCTION("""COMPUTED_VALUE"""),"87P")</f>
        <v>87P</v>
      </c>
      <c r="B84" s="108">
        <f ca="1">IFERROR(__xludf.DUMMYFUNCTION("""COMPUTED_VALUE"""),88)</f>
        <v>88</v>
      </c>
      <c r="C84" s="108">
        <f ca="1">IFERROR(__xludf.DUMMYFUNCTION("""COMPUTED_VALUE"""),68)</f>
        <v>68</v>
      </c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</row>
    <row r="85" spans="1:27" ht="14.25" customHeight="1" x14ac:dyDescent="0.25">
      <c r="A85" s="108" t="str">
        <f ca="1">IFERROR(__xludf.DUMMYFUNCTION("""COMPUTED_VALUE"""),"88K")</f>
        <v>88K</v>
      </c>
      <c r="B85" s="108" t="str">
        <f ca="1">IFERROR(__xludf.DUMMYFUNCTION("""COMPUTED_VALUE"""),"N.A.")</f>
        <v>N.A.</v>
      </c>
      <c r="C85" s="108" t="str">
        <f ca="1">IFERROR(__xludf.DUMMYFUNCTION("""COMPUTED_VALUE"""),"N.A.")</f>
        <v>N.A.</v>
      </c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</row>
    <row r="86" spans="1:27" ht="14.25" customHeight="1" x14ac:dyDescent="0.25">
      <c r="A86" s="108" t="str">
        <f ca="1">IFERROR(__xludf.DUMMYFUNCTION("""COMPUTED_VALUE"""),"89P")</f>
        <v>89P</v>
      </c>
      <c r="B86" s="108" t="str">
        <f ca="1">IFERROR(__xludf.DUMMYFUNCTION("""COMPUTED_VALUE"""),"N.A.")</f>
        <v>N.A.</v>
      </c>
      <c r="C86" s="108" t="str">
        <f ca="1">IFERROR(__xludf.DUMMYFUNCTION("""COMPUTED_VALUE"""),"N.A.")</f>
        <v>N.A.</v>
      </c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ht="14.25" customHeight="1" x14ac:dyDescent="0.25">
      <c r="A87" s="108" t="str">
        <f ca="1">IFERROR(__xludf.DUMMYFUNCTION("""COMPUTED_VALUE"""),"91K")</f>
        <v>91K</v>
      </c>
      <c r="B87" s="108">
        <f ca="1">IFERROR(__xludf.DUMMYFUNCTION("""COMPUTED_VALUE"""),100)</f>
        <v>100</v>
      </c>
      <c r="C87" s="108">
        <f ca="1">IFERROR(__xludf.DUMMYFUNCTION("""COMPUTED_VALUE"""),89)</f>
        <v>89</v>
      </c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</row>
    <row r="88" spans="1:27" ht="14.25" customHeight="1" x14ac:dyDescent="0.25">
      <c r="A88" s="108" t="str">
        <f ca="1">IFERROR(__xludf.DUMMYFUNCTION("""COMPUTED_VALUE"""),"92P")</f>
        <v>92P</v>
      </c>
      <c r="B88" s="108" t="str">
        <f ca="1">IFERROR(__xludf.DUMMYFUNCTION("""COMPUTED_VALUE"""),"N.A.")</f>
        <v>N.A.</v>
      </c>
      <c r="C88" s="108" t="str">
        <f ca="1">IFERROR(__xludf.DUMMYFUNCTION("""COMPUTED_VALUE"""),"N.A.")</f>
        <v>N.A.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</row>
    <row r="89" spans="1:27" ht="14.25" customHeight="1" x14ac:dyDescent="0.25">
      <c r="A89" s="108" t="str">
        <f ca="1">IFERROR(__xludf.DUMMYFUNCTION("""COMPUTED_VALUE"""),"96P")</f>
        <v>96P</v>
      </c>
      <c r="B89" s="108">
        <f ca="1">IFERROR(__xludf.DUMMYFUNCTION("""COMPUTED_VALUE"""),85)</f>
        <v>85</v>
      </c>
      <c r="C89" s="108">
        <f ca="1">IFERROR(__xludf.DUMMYFUNCTION("""COMPUTED_VALUE"""),11)</f>
        <v>11</v>
      </c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</row>
    <row r="90" spans="1:27" ht="14.25" customHeight="1" x14ac:dyDescent="0.25">
      <c r="A90" s="108" t="str">
        <f ca="1">IFERROR(__xludf.DUMMYFUNCTION("""COMPUTED_VALUE"""),"97P")</f>
        <v>97P</v>
      </c>
      <c r="B90" s="108">
        <f ca="1">IFERROR(__xludf.DUMMYFUNCTION("""COMPUTED_VALUE"""),77)</f>
        <v>77</v>
      </c>
      <c r="C90" s="108">
        <f ca="1">IFERROR(__xludf.DUMMYFUNCTION("""COMPUTED_VALUE"""),70)</f>
        <v>70</v>
      </c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</row>
    <row r="91" spans="1:27" ht="14.25" customHeight="1" x14ac:dyDescent="0.25">
      <c r="A91" s="108" t="str">
        <f ca="1">IFERROR(__xludf.DUMMYFUNCTION("""COMPUTED_VALUE"""),"98P")</f>
        <v>98P</v>
      </c>
      <c r="B91" s="108">
        <f ca="1">IFERROR(__xludf.DUMMYFUNCTION("""COMPUTED_VALUE"""),107)</f>
        <v>107</v>
      </c>
      <c r="C91" s="108">
        <f ca="1">IFERROR(__xludf.DUMMYFUNCTION("""COMPUTED_VALUE"""),94)</f>
        <v>94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</row>
    <row r="92" spans="1:27" ht="14.25" customHeight="1" x14ac:dyDescent="0.25">
      <c r="A92" s="108" t="str">
        <f ca="1">IFERROR(__xludf.DUMMYFUNCTION("""COMPUTED_VALUE"""),"100P")</f>
        <v>100P</v>
      </c>
      <c r="B92" s="108">
        <f ca="1">IFERROR(__xludf.DUMMYFUNCTION("""COMPUTED_VALUE"""),99)</f>
        <v>99</v>
      </c>
      <c r="C92" s="108">
        <f ca="1">IFERROR(__xludf.DUMMYFUNCTION("""COMPUTED_VALUE"""),87)</f>
        <v>87</v>
      </c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</row>
    <row r="93" spans="1:27" ht="14.25" customHeight="1" x14ac:dyDescent="0.25">
      <c r="A93" s="108" t="str">
        <f ca="1">IFERROR(__xludf.DUMMYFUNCTION("""COMPUTED_VALUE"""),"101P")</f>
        <v>101P</v>
      </c>
      <c r="B93" s="108" t="str">
        <f ca="1">IFERROR(__xludf.DUMMYFUNCTION("""COMPUTED_VALUE"""),"N.A.")</f>
        <v>N.A.</v>
      </c>
      <c r="C93" s="108" t="str">
        <f ca="1">IFERROR(__xludf.DUMMYFUNCTION("""COMPUTED_VALUE"""),"N.A.")</f>
        <v>N.A.</v>
      </c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</row>
    <row r="94" spans="1:27" ht="14.25" customHeight="1" x14ac:dyDescent="0.25">
      <c r="A94" s="108" t="str">
        <f ca="1">IFERROR(__xludf.DUMMYFUNCTION("""COMPUTED_VALUE"""),"102P")</f>
        <v>102P</v>
      </c>
      <c r="B94" s="108" t="str">
        <f ca="1">IFERROR(__xludf.DUMMYFUNCTION("""COMPUTED_VALUE"""),"N.A.")</f>
        <v>N.A.</v>
      </c>
      <c r="C94" s="108" t="str">
        <f ca="1">IFERROR(__xludf.DUMMYFUNCTION("""COMPUTED_VALUE"""),"N.A.")</f>
        <v>N.A.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</row>
    <row r="95" spans="1:27" ht="14.25" customHeight="1" x14ac:dyDescent="0.25">
      <c r="A95" s="108" t="str">
        <f ca="1">IFERROR(__xludf.DUMMYFUNCTION("""COMPUTED_VALUE"""),"103K")</f>
        <v>103K</v>
      </c>
      <c r="B95" s="108">
        <f ca="1">IFERROR(__xludf.DUMMYFUNCTION("""COMPUTED_VALUE"""),52)</f>
        <v>52</v>
      </c>
      <c r="C95" s="108">
        <f ca="1">IFERROR(__xludf.DUMMYFUNCTION("""COMPUTED_VALUE"""),49)</f>
        <v>49</v>
      </c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</row>
    <row r="96" spans="1:27" ht="14.25" customHeight="1" x14ac:dyDescent="0.25">
      <c r="A96" s="108" t="str">
        <f ca="1">IFERROR(__xludf.DUMMYFUNCTION("""COMPUTED_VALUE"""),"104K")</f>
        <v>104K</v>
      </c>
      <c r="B96" s="108" t="str">
        <f ca="1">IFERROR(__xludf.DUMMYFUNCTION("""COMPUTED_VALUE"""),"N.A.")</f>
        <v>N.A.</v>
      </c>
      <c r="C96" s="108" t="str">
        <f ca="1">IFERROR(__xludf.DUMMYFUNCTION("""COMPUTED_VALUE"""),"N.A.")</f>
        <v>N.A.</v>
      </c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</row>
    <row r="97" spans="1:27" ht="14.25" customHeight="1" x14ac:dyDescent="0.25">
      <c r="A97" s="108" t="str">
        <f ca="1">IFERROR(__xludf.DUMMYFUNCTION("""COMPUTED_VALUE"""),"105P")</f>
        <v>105P</v>
      </c>
      <c r="B97" s="108" t="str">
        <f ca="1">IFERROR(__xludf.DUMMYFUNCTION("""COMPUTED_VALUE"""),"N.A.")</f>
        <v>N.A.</v>
      </c>
      <c r="C97" s="108" t="str">
        <f ca="1">IFERROR(__xludf.DUMMYFUNCTION("""COMPUTED_VALUE"""),"N.A.")</f>
        <v>N.A.</v>
      </c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</row>
    <row r="98" spans="1:27" ht="14.25" customHeight="1" x14ac:dyDescent="0.25">
      <c r="A98" s="108" t="str">
        <f ca="1">IFERROR(__xludf.DUMMYFUNCTION("""COMPUTED_VALUE"""),"106K")</f>
        <v>106K</v>
      </c>
      <c r="B98" s="108">
        <f ca="1">IFERROR(__xludf.DUMMYFUNCTION("""COMPUTED_VALUE"""),112)</f>
        <v>112</v>
      </c>
      <c r="C98" s="108">
        <f ca="1">IFERROR(__xludf.DUMMYFUNCTION("""COMPUTED_VALUE"""),97)</f>
        <v>97</v>
      </c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</row>
    <row r="99" spans="1:27" ht="14.25" customHeight="1" x14ac:dyDescent="0.25">
      <c r="A99" s="108" t="str">
        <f ca="1">IFERROR(__xludf.DUMMYFUNCTION("""COMPUTED_VALUE"""),"108K")</f>
        <v>108K</v>
      </c>
      <c r="B99" s="108">
        <f ca="1">IFERROR(__xludf.DUMMYFUNCTION("""COMPUTED_VALUE"""),108)</f>
        <v>108</v>
      </c>
      <c r="C99" s="108">
        <f ca="1">IFERROR(__xludf.DUMMYFUNCTION("""COMPUTED_VALUE"""),25)</f>
        <v>25</v>
      </c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27" ht="14.25" customHeight="1" x14ac:dyDescent="0.25">
      <c r="A100" s="108" t="str">
        <f ca="1">IFERROR(__xludf.DUMMYFUNCTION("""COMPUTED_VALUE"""),"109K")</f>
        <v>109K</v>
      </c>
      <c r="B100" s="108" t="str">
        <f ca="1">IFERROR(__xludf.DUMMYFUNCTION("""COMPUTED_VALUE"""),"N.A.")</f>
        <v>N.A.</v>
      </c>
      <c r="C100" s="108" t="str">
        <f ca="1">IFERROR(__xludf.DUMMYFUNCTION("""COMPUTED_VALUE"""),"N.A.")</f>
        <v>N.A.</v>
      </c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</row>
    <row r="101" spans="1:27" ht="14.25" customHeight="1" x14ac:dyDescent="0.25">
      <c r="A101" s="108" t="str">
        <f ca="1">IFERROR(__xludf.DUMMYFUNCTION("""COMPUTED_VALUE"""),"111K")</f>
        <v>111K</v>
      </c>
      <c r="B101" s="108">
        <f ca="1">IFERROR(__xludf.DUMMYFUNCTION("""COMPUTED_VALUE"""),45)</f>
        <v>45</v>
      </c>
      <c r="C101" s="108">
        <f ca="1">IFERROR(__xludf.DUMMYFUNCTION("""COMPUTED_VALUE"""),38)</f>
        <v>38</v>
      </c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</row>
    <row r="102" spans="1:27" ht="14.25" customHeight="1" x14ac:dyDescent="0.25">
      <c r="A102" s="108" t="str">
        <f ca="1">IFERROR(__xludf.DUMMYFUNCTION("""COMPUTED_VALUE"""),"113K")</f>
        <v>113K</v>
      </c>
      <c r="B102" s="108" t="str">
        <f ca="1">IFERROR(__xludf.DUMMYFUNCTION("""COMPUTED_VALUE"""),"N.A.")</f>
        <v>N.A.</v>
      </c>
      <c r="C102" s="108" t="str">
        <f ca="1">IFERROR(__xludf.DUMMYFUNCTION("""COMPUTED_VALUE"""),"N.A.")</f>
        <v>N.A.</v>
      </c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</row>
    <row r="103" spans="1:27" ht="14.25" customHeight="1" x14ac:dyDescent="0.25">
      <c r="A103" s="108" t="str">
        <f ca="1">IFERROR(__xludf.DUMMYFUNCTION("""COMPUTED_VALUE"""),"114P")</f>
        <v>114P</v>
      </c>
      <c r="B103" s="108">
        <f ca="1">IFERROR(__xludf.DUMMYFUNCTION("""COMPUTED_VALUE"""),68)</f>
        <v>68</v>
      </c>
      <c r="C103" s="108">
        <f ca="1">IFERROR(__xludf.DUMMYFUNCTION("""COMPUTED_VALUE"""),68)</f>
        <v>68</v>
      </c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</row>
    <row r="104" spans="1:27" ht="14.25" customHeight="1" x14ac:dyDescent="0.25">
      <c r="A104" s="108" t="str">
        <f ca="1">IFERROR(__xludf.DUMMYFUNCTION("""COMPUTED_VALUE"""),"115K")</f>
        <v>115K</v>
      </c>
      <c r="B104" s="108" t="str">
        <f ca="1">IFERROR(__xludf.DUMMYFUNCTION("""COMPUTED_VALUE"""),"N.A.")</f>
        <v>N.A.</v>
      </c>
      <c r="C104" s="108" t="str">
        <f ca="1">IFERROR(__xludf.DUMMYFUNCTION("""COMPUTED_VALUE"""),"N.A.")</f>
        <v>N.A.</v>
      </c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</row>
    <row r="105" spans="1:27" ht="14.25" customHeight="1" x14ac:dyDescent="0.25">
      <c r="A105" s="108" t="str">
        <f ca="1">IFERROR(__xludf.DUMMYFUNCTION("""COMPUTED_VALUE"""),"120P")</f>
        <v>120P</v>
      </c>
      <c r="B105" s="108">
        <f ca="1">IFERROR(__xludf.DUMMYFUNCTION("""COMPUTED_VALUE"""),92)</f>
        <v>92</v>
      </c>
      <c r="C105" s="108">
        <f ca="1">IFERROR(__xludf.DUMMYFUNCTION("""COMPUTED_VALUE"""),80)</f>
        <v>80</v>
      </c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</row>
    <row r="106" spans="1:27" ht="14.25" customHeight="1" x14ac:dyDescent="0.25">
      <c r="A106" s="108" t="str">
        <f ca="1">IFERROR(__xludf.DUMMYFUNCTION("""COMPUTED_VALUE"""),"121P")</f>
        <v>121P</v>
      </c>
      <c r="B106" s="108" t="str">
        <f ca="1">IFERROR(__xludf.DUMMYFUNCTION("""COMPUTED_VALUE"""),"N.A.")</f>
        <v>N.A.</v>
      </c>
      <c r="C106" s="108" t="str">
        <f ca="1">IFERROR(__xludf.DUMMYFUNCTION("""COMPUTED_VALUE"""),"N.A.")</f>
        <v>N.A.</v>
      </c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14.25" customHeight="1" x14ac:dyDescent="0.25">
      <c r="A107" s="108" t="str">
        <f ca="1">IFERROR(__xludf.DUMMYFUNCTION("""COMPUTED_VALUE"""),"122K")</f>
        <v>122K</v>
      </c>
      <c r="B107" s="108" t="str">
        <f ca="1">IFERROR(__xludf.DUMMYFUNCTION("""COMPUTED_VALUE"""),"N.A.")</f>
        <v>N.A.</v>
      </c>
      <c r="C107" s="108" t="str">
        <f ca="1">IFERROR(__xludf.DUMMYFUNCTION("""COMPUTED_VALUE"""),"N.A.")</f>
        <v>N.A.</v>
      </c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27" ht="14.25" customHeight="1" x14ac:dyDescent="0.25">
      <c r="A108" s="108" t="str">
        <f ca="1">IFERROR(__xludf.DUMMYFUNCTION("""COMPUTED_VALUE"""),"123K")</f>
        <v>123K</v>
      </c>
      <c r="B108" s="108">
        <f ca="1">IFERROR(__xludf.DUMMYFUNCTION("""COMPUTED_VALUE"""),82)</f>
        <v>82</v>
      </c>
      <c r="C108" s="108">
        <f ca="1">IFERROR(__xludf.DUMMYFUNCTION("""COMPUTED_VALUE"""),79)</f>
        <v>79</v>
      </c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</row>
    <row r="109" spans="1:27" ht="14.25" customHeight="1" x14ac:dyDescent="0.25">
      <c r="A109" s="108" t="str">
        <f ca="1">IFERROR(__xludf.DUMMYFUNCTION("""COMPUTED_VALUE"""),"124P")</f>
        <v>124P</v>
      </c>
      <c r="B109" s="108" t="str">
        <f ca="1">IFERROR(__xludf.DUMMYFUNCTION("""COMPUTED_VALUE"""),"N.A.")</f>
        <v>N.A.</v>
      </c>
      <c r="C109" s="108" t="str">
        <f ca="1">IFERROR(__xludf.DUMMYFUNCTION("""COMPUTED_VALUE"""),"N.A.")</f>
        <v>N.A.</v>
      </c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</row>
    <row r="110" spans="1:27" ht="14.25" customHeight="1" x14ac:dyDescent="0.25">
      <c r="A110" s="108" t="str">
        <f ca="1">IFERROR(__xludf.DUMMYFUNCTION("""COMPUTED_VALUE"""),"125P")</f>
        <v>125P</v>
      </c>
      <c r="B110" s="108">
        <f ca="1">IFERROR(__xludf.DUMMYFUNCTION("""COMPUTED_VALUE"""),84)</f>
        <v>84</v>
      </c>
      <c r="C110" s="108">
        <f ca="1">IFERROR(__xludf.DUMMYFUNCTION("""COMPUTED_VALUE"""),83)</f>
        <v>83</v>
      </c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</row>
    <row r="111" spans="1:27" ht="14.25" customHeight="1" x14ac:dyDescent="0.25">
      <c r="A111" s="108" t="str">
        <f ca="1">IFERROR(__xludf.DUMMYFUNCTION("""COMPUTED_VALUE"""),"126K")</f>
        <v>126K</v>
      </c>
      <c r="B111" s="108">
        <f ca="1">IFERROR(__xludf.DUMMYFUNCTION("""COMPUTED_VALUE"""),98)</f>
        <v>98</v>
      </c>
      <c r="C111" s="108">
        <f ca="1">IFERROR(__xludf.DUMMYFUNCTION("""COMPUTED_VALUE"""),89)</f>
        <v>89</v>
      </c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</row>
    <row r="112" spans="1:27" ht="14.25" customHeight="1" x14ac:dyDescent="0.25">
      <c r="A112" s="108" t="str">
        <f ca="1">IFERROR(__xludf.DUMMYFUNCTION("""COMPUTED_VALUE"""),"127K")</f>
        <v>127K</v>
      </c>
      <c r="B112" s="108">
        <f ca="1">IFERROR(__xludf.DUMMYFUNCTION("""COMPUTED_VALUE"""),118)</f>
        <v>118</v>
      </c>
      <c r="C112" s="108">
        <f ca="1">IFERROR(__xludf.DUMMYFUNCTION("""COMPUTED_VALUE"""),102)</f>
        <v>102</v>
      </c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</row>
    <row r="113" spans="1:27" ht="14.25" customHeight="1" x14ac:dyDescent="0.25">
      <c r="A113" s="108" t="str">
        <f ca="1">IFERROR(__xludf.DUMMYFUNCTION("""COMPUTED_VALUE"""),"128K")</f>
        <v>128K</v>
      </c>
      <c r="B113" s="108">
        <f ca="1">IFERROR(__xludf.DUMMYFUNCTION("""COMPUTED_VALUE"""),81)</f>
        <v>81</v>
      </c>
      <c r="C113" s="108">
        <f ca="1">IFERROR(__xludf.DUMMYFUNCTION("""COMPUTED_VALUE"""),64)</f>
        <v>64</v>
      </c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</row>
    <row r="114" spans="1:27" ht="14.25" customHeight="1" x14ac:dyDescent="0.25">
      <c r="A114" s="108" t="str">
        <f ca="1">IFERROR(__xludf.DUMMYFUNCTION("""COMPUTED_VALUE"""),"129K")</f>
        <v>129K</v>
      </c>
      <c r="B114" s="108" t="str">
        <f ca="1">IFERROR(__xludf.DUMMYFUNCTION("""COMPUTED_VALUE"""),"N.A.")</f>
        <v>N.A.</v>
      </c>
      <c r="C114" s="108" t="str">
        <f ca="1">IFERROR(__xludf.DUMMYFUNCTION("""COMPUTED_VALUE"""),"N.A.")</f>
        <v>N.A.</v>
      </c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</row>
    <row r="115" spans="1:27" ht="14.25" customHeight="1" x14ac:dyDescent="0.25">
      <c r="A115" s="108" t="str">
        <f ca="1">IFERROR(__xludf.DUMMYFUNCTION("""COMPUTED_VALUE"""),"130P")</f>
        <v>130P</v>
      </c>
      <c r="B115" s="108" t="str">
        <f ca="1">IFERROR(__xludf.DUMMYFUNCTION("""COMPUTED_VALUE"""),"N.A.")</f>
        <v>N.A.</v>
      </c>
      <c r="C115" s="108" t="str">
        <f ca="1">IFERROR(__xludf.DUMMYFUNCTION("""COMPUTED_VALUE"""),"N.A.")</f>
        <v>N.A.</v>
      </c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</row>
    <row r="116" spans="1:27" ht="14.25" customHeight="1" x14ac:dyDescent="0.25">
      <c r="A116" s="108" t="str">
        <f ca="1">IFERROR(__xludf.DUMMYFUNCTION("""COMPUTED_VALUE"""),"131P")</f>
        <v>131P</v>
      </c>
      <c r="B116" s="108" t="str">
        <f ca="1">IFERROR(__xludf.DUMMYFUNCTION("""COMPUTED_VALUE"""),"N.A.")</f>
        <v>N.A.</v>
      </c>
      <c r="C116" s="108" t="str">
        <f ca="1">IFERROR(__xludf.DUMMYFUNCTION("""COMPUTED_VALUE"""),"N.A.")</f>
        <v>N.A.</v>
      </c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</row>
    <row r="117" spans="1:27" ht="14.25" customHeight="1" x14ac:dyDescent="0.25">
      <c r="A117" s="108" t="str">
        <f ca="1">IFERROR(__xludf.DUMMYFUNCTION("""COMPUTED_VALUE"""),"133K")</f>
        <v>133K</v>
      </c>
      <c r="B117" s="108">
        <f ca="1">IFERROR(__xludf.DUMMYFUNCTION("""COMPUTED_VALUE"""),75)</f>
        <v>75</v>
      </c>
      <c r="C117" s="108">
        <f ca="1">IFERROR(__xludf.DUMMYFUNCTION("""COMPUTED_VALUE"""),70)</f>
        <v>70</v>
      </c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</row>
    <row r="118" spans="1:27" ht="14.25" customHeight="1" x14ac:dyDescent="0.25">
      <c r="A118" s="108" t="str">
        <f ca="1">IFERROR(__xludf.DUMMYFUNCTION("""COMPUTED_VALUE"""),"135K")</f>
        <v>135K</v>
      </c>
      <c r="B118" s="108" t="str">
        <f ca="1">IFERROR(__xludf.DUMMYFUNCTION("""COMPUTED_VALUE"""),"N.A.")</f>
        <v>N.A.</v>
      </c>
      <c r="C118" s="108" t="str">
        <f ca="1">IFERROR(__xludf.DUMMYFUNCTION("""COMPUTED_VALUE"""),"N.A.")</f>
        <v>N.A.</v>
      </c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</row>
    <row r="119" spans="1:27" ht="14.25" customHeight="1" x14ac:dyDescent="0.25">
      <c r="A119" s="108" t="str">
        <f ca="1">IFERROR(__xludf.DUMMYFUNCTION("""COMPUTED_VALUE"""),"136K")</f>
        <v>136K</v>
      </c>
      <c r="B119" s="108">
        <f ca="1">IFERROR(__xludf.DUMMYFUNCTION("""COMPUTED_VALUE"""),84)</f>
        <v>84</v>
      </c>
      <c r="C119" s="108">
        <f ca="1">IFERROR(__xludf.DUMMYFUNCTION("""COMPUTED_VALUE"""),83)</f>
        <v>83</v>
      </c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</row>
    <row r="120" spans="1:27" ht="14.25" customHeight="1" x14ac:dyDescent="0.25">
      <c r="A120" s="108" t="str">
        <f ca="1">IFERROR(__xludf.DUMMYFUNCTION("""COMPUTED_VALUE"""),"137K")</f>
        <v>137K</v>
      </c>
      <c r="B120" s="108" t="str">
        <f ca="1">IFERROR(__xludf.DUMMYFUNCTION("""COMPUTED_VALUE"""),"N.A.")</f>
        <v>N.A.</v>
      </c>
      <c r="C120" s="108" t="str">
        <f ca="1">IFERROR(__xludf.DUMMYFUNCTION("""COMPUTED_VALUE"""),"N.A.")</f>
        <v>N.A.</v>
      </c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</row>
    <row r="121" spans="1:27" ht="14.25" customHeight="1" x14ac:dyDescent="0.25">
      <c r="A121" s="108" t="str">
        <f ca="1">IFERROR(__xludf.DUMMYFUNCTION("""COMPUTED_VALUE"""),"140K")</f>
        <v>140K</v>
      </c>
      <c r="B121" s="108">
        <f ca="1">IFERROR(__xludf.DUMMYFUNCTION("""COMPUTED_VALUE"""),69)</f>
        <v>69</v>
      </c>
      <c r="C121" s="108">
        <f ca="1">IFERROR(__xludf.DUMMYFUNCTION("""COMPUTED_VALUE"""),63)</f>
        <v>63</v>
      </c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</row>
    <row r="122" spans="1:27" ht="14.25" customHeight="1" x14ac:dyDescent="0.25">
      <c r="A122" s="108" t="str">
        <f ca="1">IFERROR(__xludf.DUMMYFUNCTION("""COMPUTED_VALUE"""),"141K")</f>
        <v>141K</v>
      </c>
      <c r="B122" s="108" t="str">
        <f ca="1">IFERROR(__xludf.DUMMYFUNCTION("""COMPUTED_VALUE"""),"N.A.")</f>
        <v>N.A.</v>
      </c>
      <c r="C122" s="108" t="str">
        <f ca="1">IFERROR(__xludf.DUMMYFUNCTION("""COMPUTED_VALUE"""),"N.A.")</f>
        <v>N.A.</v>
      </c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</row>
    <row r="123" spans="1:27" ht="14.25" customHeight="1" x14ac:dyDescent="0.25">
      <c r="A123" s="108" t="str">
        <f ca="1">IFERROR(__xludf.DUMMYFUNCTION("""COMPUTED_VALUE"""),"142P")</f>
        <v>142P</v>
      </c>
      <c r="B123" s="108">
        <f ca="1">IFERROR(__xludf.DUMMYFUNCTION("""COMPUTED_VALUE"""),15)</f>
        <v>15</v>
      </c>
      <c r="C123" s="108">
        <f ca="1">IFERROR(__xludf.DUMMYFUNCTION("""COMPUTED_VALUE"""),0)</f>
        <v>0</v>
      </c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</row>
    <row r="124" spans="1:27" ht="14.25" customHeight="1" x14ac:dyDescent="0.25">
      <c r="A124" s="108" t="str">
        <f ca="1">IFERROR(__xludf.DUMMYFUNCTION("""COMPUTED_VALUE"""),"143P")</f>
        <v>143P</v>
      </c>
      <c r="B124" s="108">
        <f ca="1">IFERROR(__xludf.DUMMYFUNCTION("""COMPUTED_VALUE"""),82)</f>
        <v>82</v>
      </c>
      <c r="C124" s="108">
        <f ca="1">IFERROR(__xludf.DUMMYFUNCTION("""COMPUTED_VALUE"""),72)</f>
        <v>72</v>
      </c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</row>
    <row r="125" spans="1:27" ht="14.25" customHeight="1" x14ac:dyDescent="0.25">
      <c r="A125" s="108" t="str">
        <f ca="1">IFERROR(__xludf.DUMMYFUNCTION("""COMPUTED_VALUE"""),"144P")</f>
        <v>144P</v>
      </c>
      <c r="B125" s="108">
        <f ca="1">IFERROR(__xludf.DUMMYFUNCTION("""COMPUTED_VALUE"""),102)</f>
        <v>102</v>
      </c>
      <c r="C125" s="108">
        <f ca="1">IFERROR(__xludf.DUMMYFUNCTION("""COMPUTED_VALUE"""),92)</f>
        <v>92</v>
      </c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</row>
    <row r="126" spans="1:27" ht="14.25" customHeight="1" x14ac:dyDescent="0.25">
      <c r="A126" s="108" t="str">
        <f ca="1">IFERROR(__xludf.DUMMYFUNCTION("""COMPUTED_VALUE"""),"145K")</f>
        <v>145K</v>
      </c>
      <c r="B126" s="108">
        <f ca="1">IFERROR(__xludf.DUMMYFUNCTION("""COMPUTED_VALUE"""),100)</f>
        <v>100</v>
      </c>
      <c r="C126" s="108">
        <f ca="1">IFERROR(__xludf.DUMMYFUNCTION("""COMPUTED_VALUE"""),92)</f>
        <v>92</v>
      </c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</row>
    <row r="127" spans="1:27" ht="14.25" customHeight="1" x14ac:dyDescent="0.25">
      <c r="A127" s="108" t="str">
        <f ca="1">IFERROR(__xludf.DUMMYFUNCTION("""COMPUTED_VALUE"""),"146K")</f>
        <v>146K</v>
      </c>
      <c r="B127" s="108">
        <f ca="1">IFERROR(__xludf.DUMMYFUNCTION("""COMPUTED_VALUE"""),18)</f>
        <v>18</v>
      </c>
      <c r="C127" s="108">
        <f ca="1">IFERROR(__xludf.DUMMYFUNCTION("""COMPUTED_VALUE"""),0)</f>
        <v>0</v>
      </c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</row>
    <row r="128" spans="1:27" ht="14.25" customHeight="1" x14ac:dyDescent="0.25">
      <c r="A128" s="108" t="str">
        <f ca="1">IFERROR(__xludf.DUMMYFUNCTION("""COMPUTED_VALUE"""),"147K")</f>
        <v>147K</v>
      </c>
      <c r="B128" s="108" t="str">
        <f ca="1">IFERROR(__xludf.DUMMYFUNCTION("""COMPUTED_VALUE"""),"N.A.")</f>
        <v>N.A.</v>
      </c>
      <c r="C128" s="108" t="str">
        <f ca="1">IFERROR(__xludf.DUMMYFUNCTION("""COMPUTED_VALUE"""),"N.A.")</f>
        <v>N.A.</v>
      </c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</row>
    <row r="129" spans="1:27" ht="14.25" customHeight="1" x14ac:dyDescent="0.25">
      <c r="A129" s="108" t="str">
        <f ca="1">IFERROR(__xludf.DUMMYFUNCTION("""COMPUTED_VALUE"""),"149P")</f>
        <v>149P</v>
      </c>
      <c r="B129" s="108">
        <f ca="1">IFERROR(__xludf.DUMMYFUNCTION("""COMPUTED_VALUE"""),92)</f>
        <v>92</v>
      </c>
      <c r="C129" s="108">
        <f ca="1">IFERROR(__xludf.DUMMYFUNCTION("""COMPUTED_VALUE"""),79)</f>
        <v>79</v>
      </c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</row>
    <row r="130" spans="1:27" ht="14.25" customHeight="1" x14ac:dyDescent="0.25">
      <c r="A130" s="108" t="str">
        <f ca="1">IFERROR(__xludf.DUMMYFUNCTION("""COMPUTED_VALUE"""),"150K")</f>
        <v>150K</v>
      </c>
      <c r="B130" s="108" t="str">
        <f ca="1">IFERROR(__xludf.DUMMYFUNCTION("""COMPUTED_VALUE"""),"N.A.")</f>
        <v>N.A.</v>
      </c>
      <c r="C130" s="108" t="str">
        <f ca="1">IFERROR(__xludf.DUMMYFUNCTION("""COMPUTED_VALUE"""),"N.A.")</f>
        <v>N.A.</v>
      </c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</row>
    <row r="131" spans="1:27" ht="14.25" customHeight="1" x14ac:dyDescent="0.25">
      <c r="A131" s="108" t="str">
        <f ca="1">IFERROR(__xludf.DUMMYFUNCTION("""COMPUTED_VALUE"""),"151P")</f>
        <v>151P</v>
      </c>
      <c r="B131" s="108">
        <f ca="1">IFERROR(__xludf.DUMMYFUNCTION("""COMPUTED_VALUE"""),92)</f>
        <v>92</v>
      </c>
      <c r="C131" s="108">
        <f ca="1">IFERROR(__xludf.DUMMYFUNCTION("""COMPUTED_VALUE"""),50)</f>
        <v>50</v>
      </c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</row>
    <row r="132" spans="1:27" ht="14.25" customHeight="1" x14ac:dyDescent="0.25">
      <c r="A132" s="108" t="str">
        <f ca="1">IFERROR(__xludf.DUMMYFUNCTION("""COMPUTED_VALUE"""),"152P")</f>
        <v>152P</v>
      </c>
      <c r="B132" s="108">
        <f ca="1">IFERROR(__xludf.DUMMYFUNCTION("""COMPUTED_VALUE"""),67)</f>
        <v>67</v>
      </c>
      <c r="C132" s="108">
        <f ca="1">IFERROR(__xludf.DUMMYFUNCTION("""COMPUTED_VALUE"""),66)</f>
        <v>66</v>
      </c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</row>
    <row r="133" spans="1:27" ht="14.25" customHeight="1" x14ac:dyDescent="0.25">
      <c r="A133" s="108" t="str">
        <f ca="1">IFERROR(__xludf.DUMMYFUNCTION("""COMPUTED_VALUE"""),"153K")</f>
        <v>153K</v>
      </c>
      <c r="B133" s="108" t="str">
        <f ca="1">IFERROR(__xludf.DUMMYFUNCTION("""COMPUTED_VALUE"""),"N.A.")</f>
        <v>N.A.</v>
      </c>
      <c r="C133" s="108" t="str">
        <f ca="1">IFERROR(__xludf.DUMMYFUNCTION("""COMPUTED_VALUE"""),"N.A.")</f>
        <v>N.A.</v>
      </c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</row>
    <row r="134" spans="1:27" ht="14.25" customHeight="1" x14ac:dyDescent="0.25">
      <c r="A134" s="108" t="str">
        <f ca="1">IFERROR(__xludf.DUMMYFUNCTION("""COMPUTED_VALUE"""),"154K")</f>
        <v>154K</v>
      </c>
      <c r="B134" s="108">
        <f ca="1">IFERROR(__xludf.DUMMYFUNCTION("""COMPUTED_VALUE"""),92)</f>
        <v>92</v>
      </c>
      <c r="C134" s="108">
        <f ca="1">IFERROR(__xludf.DUMMYFUNCTION("""COMPUTED_VALUE"""),81)</f>
        <v>81</v>
      </c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</row>
    <row r="135" spans="1:27" ht="14.25" customHeight="1" x14ac:dyDescent="0.25">
      <c r="A135" s="108" t="str">
        <f ca="1">IFERROR(__xludf.DUMMYFUNCTION("""COMPUTED_VALUE"""),"155P")</f>
        <v>155P</v>
      </c>
      <c r="B135" s="108">
        <f ca="1">IFERROR(__xludf.DUMMYFUNCTION("""COMPUTED_VALUE"""),91)</f>
        <v>91</v>
      </c>
      <c r="C135" s="108">
        <f ca="1">IFERROR(__xludf.DUMMYFUNCTION("""COMPUTED_VALUE"""),90)</f>
        <v>90</v>
      </c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</row>
    <row r="136" spans="1:27" ht="14.25" customHeight="1" x14ac:dyDescent="0.25">
      <c r="A136" s="108" t="str">
        <f ca="1">IFERROR(__xludf.DUMMYFUNCTION("""COMPUTED_VALUE"""),"156K")</f>
        <v>156K</v>
      </c>
      <c r="B136" s="108">
        <f ca="1">IFERROR(__xludf.DUMMYFUNCTION("""COMPUTED_VALUE"""),53)</f>
        <v>53</v>
      </c>
      <c r="C136" s="108">
        <f ca="1">IFERROR(__xludf.DUMMYFUNCTION("""COMPUTED_VALUE"""),46)</f>
        <v>46</v>
      </c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</row>
    <row r="137" spans="1:27" ht="14.25" customHeight="1" x14ac:dyDescent="0.25">
      <c r="A137" s="108" t="str">
        <f ca="1">IFERROR(__xludf.DUMMYFUNCTION("""COMPUTED_VALUE"""),"157P")</f>
        <v>157P</v>
      </c>
      <c r="B137" s="108">
        <f ca="1">IFERROR(__xludf.DUMMYFUNCTION("""COMPUTED_VALUE"""),79)</f>
        <v>79</v>
      </c>
      <c r="C137" s="108">
        <f ca="1">IFERROR(__xludf.DUMMYFUNCTION("""COMPUTED_VALUE"""),78)</f>
        <v>78</v>
      </c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</row>
    <row r="138" spans="1:27" ht="14.25" customHeight="1" x14ac:dyDescent="0.25">
      <c r="A138" s="108" t="str">
        <f ca="1">IFERROR(__xludf.DUMMYFUNCTION("""COMPUTED_VALUE"""),"158K")</f>
        <v>158K</v>
      </c>
      <c r="B138" s="108" t="str">
        <f ca="1">IFERROR(__xludf.DUMMYFUNCTION("""COMPUTED_VALUE"""),"N.A.")</f>
        <v>N.A.</v>
      </c>
      <c r="C138" s="108" t="str">
        <f ca="1">IFERROR(__xludf.DUMMYFUNCTION("""COMPUTED_VALUE"""),"N.A.")</f>
        <v>N.A.</v>
      </c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</row>
    <row r="139" spans="1:27" ht="14.25" customHeight="1" x14ac:dyDescent="0.25">
      <c r="A139" s="108" t="str">
        <f ca="1">IFERROR(__xludf.DUMMYFUNCTION("""COMPUTED_VALUE"""),"159P")</f>
        <v>159P</v>
      </c>
      <c r="B139" s="108" t="str">
        <f ca="1">IFERROR(__xludf.DUMMYFUNCTION("""COMPUTED_VALUE"""),"N.A.")</f>
        <v>N.A.</v>
      </c>
      <c r="C139" s="108" t="str">
        <f ca="1">IFERROR(__xludf.DUMMYFUNCTION("""COMPUTED_VALUE"""),"N.A.")</f>
        <v>N.A.</v>
      </c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</row>
    <row r="140" spans="1:27" ht="14.25" customHeight="1" x14ac:dyDescent="0.25">
      <c r="A140" s="108" t="str">
        <f ca="1">IFERROR(__xludf.DUMMYFUNCTION("""COMPUTED_VALUE"""),"162P")</f>
        <v>162P</v>
      </c>
      <c r="B140" s="108" t="str">
        <f ca="1">IFERROR(__xludf.DUMMYFUNCTION("""COMPUTED_VALUE"""),"N.A.")</f>
        <v>N.A.</v>
      </c>
      <c r="C140" s="108" t="str">
        <f ca="1">IFERROR(__xludf.DUMMYFUNCTION("""COMPUTED_VALUE"""),"N.A.")</f>
        <v>N.A.</v>
      </c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</row>
    <row r="141" spans="1:27" ht="14.25" customHeight="1" x14ac:dyDescent="0.25">
      <c r="A141" s="108" t="str">
        <f ca="1">IFERROR(__xludf.DUMMYFUNCTION("""COMPUTED_VALUE"""),"164K")</f>
        <v>164K</v>
      </c>
      <c r="B141" s="108" t="str">
        <f ca="1">IFERROR(__xludf.DUMMYFUNCTION("""COMPUTED_VALUE"""),"N.A.")</f>
        <v>N.A.</v>
      </c>
      <c r="C141" s="108" t="str">
        <f ca="1">IFERROR(__xludf.DUMMYFUNCTION("""COMPUTED_VALUE"""),"N.A.")</f>
        <v>N.A.</v>
      </c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</row>
    <row r="142" spans="1:27" ht="14.25" customHeight="1" x14ac:dyDescent="0.25">
      <c r="A142" s="108" t="str">
        <f ca="1">IFERROR(__xludf.DUMMYFUNCTION("""COMPUTED_VALUE"""),"165K")</f>
        <v>165K</v>
      </c>
      <c r="B142" s="108">
        <f ca="1">IFERROR(__xludf.DUMMYFUNCTION("""COMPUTED_VALUE"""),98)</f>
        <v>98</v>
      </c>
      <c r="C142" s="108">
        <f ca="1">IFERROR(__xludf.DUMMYFUNCTION("""COMPUTED_VALUE"""),96)</f>
        <v>96</v>
      </c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</row>
    <row r="143" spans="1:27" ht="14.25" customHeight="1" x14ac:dyDescent="0.25">
      <c r="A143" s="108" t="str">
        <f ca="1">IFERROR(__xludf.DUMMYFUNCTION("""COMPUTED_VALUE"""),"167K")</f>
        <v>167K</v>
      </c>
      <c r="B143" s="108">
        <f ca="1">IFERROR(__xludf.DUMMYFUNCTION("""COMPUTED_VALUE"""),97)</f>
        <v>97</v>
      </c>
      <c r="C143" s="108">
        <f ca="1">IFERROR(__xludf.DUMMYFUNCTION("""COMPUTED_VALUE"""),70)</f>
        <v>70</v>
      </c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</row>
    <row r="144" spans="1:27" ht="14.25" customHeight="1" x14ac:dyDescent="0.25">
      <c r="A144" s="108" t="str">
        <f ca="1">IFERROR(__xludf.DUMMYFUNCTION("""COMPUTED_VALUE"""),"169P")</f>
        <v>169P</v>
      </c>
      <c r="B144" s="108">
        <f ca="1">IFERROR(__xludf.DUMMYFUNCTION("""COMPUTED_VALUE"""),79)</f>
        <v>79</v>
      </c>
      <c r="C144" s="108">
        <f ca="1">IFERROR(__xludf.DUMMYFUNCTION("""COMPUTED_VALUE"""),77)</f>
        <v>77</v>
      </c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</row>
    <row r="145" spans="1:27" ht="14.25" customHeight="1" x14ac:dyDescent="0.25">
      <c r="A145" s="108" t="str">
        <f ca="1">IFERROR(__xludf.DUMMYFUNCTION("""COMPUTED_VALUE"""),"170K")</f>
        <v>170K</v>
      </c>
      <c r="B145" s="108">
        <f ca="1">IFERROR(__xludf.DUMMYFUNCTION("""COMPUTED_VALUE"""),72)</f>
        <v>72</v>
      </c>
      <c r="C145" s="108">
        <f ca="1">IFERROR(__xludf.DUMMYFUNCTION("""COMPUTED_VALUE"""),68)</f>
        <v>68</v>
      </c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</row>
    <row r="146" spans="1:27" ht="14.25" customHeight="1" x14ac:dyDescent="0.25">
      <c r="A146" s="108" t="str">
        <f ca="1">IFERROR(__xludf.DUMMYFUNCTION("""COMPUTED_VALUE"""),"173P")</f>
        <v>173P</v>
      </c>
      <c r="B146" s="108">
        <f ca="1">IFERROR(__xludf.DUMMYFUNCTION("""COMPUTED_VALUE"""),77)</f>
        <v>77</v>
      </c>
      <c r="C146" s="108">
        <f ca="1">IFERROR(__xludf.DUMMYFUNCTION("""COMPUTED_VALUE"""),70)</f>
        <v>70</v>
      </c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</row>
    <row r="147" spans="1:27" ht="14.25" customHeight="1" x14ac:dyDescent="0.25">
      <c r="A147" s="108" t="str">
        <f ca="1">IFERROR(__xludf.DUMMYFUNCTION("""COMPUTED_VALUE"""),"174P")</f>
        <v>174P</v>
      </c>
      <c r="B147" s="108">
        <f ca="1">IFERROR(__xludf.DUMMYFUNCTION("""COMPUTED_VALUE"""),84)</f>
        <v>84</v>
      </c>
      <c r="C147" s="108">
        <f ca="1">IFERROR(__xludf.DUMMYFUNCTION("""COMPUTED_VALUE"""),74)</f>
        <v>74</v>
      </c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</row>
    <row r="148" spans="1:27" ht="14.25" customHeight="1" x14ac:dyDescent="0.25">
      <c r="A148" s="108" t="str">
        <f ca="1">IFERROR(__xludf.DUMMYFUNCTION("""COMPUTED_VALUE"""),"175K")</f>
        <v>175K</v>
      </c>
      <c r="B148" s="108" t="str">
        <f ca="1">IFERROR(__xludf.DUMMYFUNCTION("""COMPUTED_VALUE"""),"N.A.")</f>
        <v>N.A.</v>
      </c>
      <c r="C148" s="108" t="str">
        <f ca="1">IFERROR(__xludf.DUMMYFUNCTION("""COMPUTED_VALUE"""),"N.A.")</f>
        <v>N.A.</v>
      </c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</row>
    <row r="149" spans="1:27" ht="14.25" customHeight="1" x14ac:dyDescent="0.25">
      <c r="A149" s="108" t="str">
        <f ca="1">IFERROR(__xludf.DUMMYFUNCTION("""COMPUTED_VALUE"""),"176K")</f>
        <v>176K</v>
      </c>
      <c r="B149" s="108" t="str">
        <f ca="1">IFERROR(__xludf.DUMMYFUNCTION("""COMPUTED_VALUE"""),"N.A.")</f>
        <v>N.A.</v>
      </c>
      <c r="C149" s="108" t="str">
        <f ca="1">IFERROR(__xludf.DUMMYFUNCTION("""COMPUTED_VALUE"""),"N.A.")</f>
        <v>N.A.</v>
      </c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</row>
    <row r="150" spans="1:27" ht="14.25" customHeight="1" x14ac:dyDescent="0.25">
      <c r="A150" s="108" t="str">
        <f ca="1">IFERROR(__xludf.DUMMYFUNCTION("""COMPUTED_VALUE"""),"177P")</f>
        <v>177P</v>
      </c>
      <c r="B150" s="108">
        <f ca="1">IFERROR(__xludf.DUMMYFUNCTION("""COMPUTED_VALUE"""),90)</f>
        <v>90</v>
      </c>
      <c r="C150" s="108">
        <f ca="1">IFERROR(__xludf.DUMMYFUNCTION("""COMPUTED_VALUE"""),71)</f>
        <v>71</v>
      </c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</row>
    <row r="151" spans="1:27" ht="14.25" customHeight="1" x14ac:dyDescent="0.25">
      <c r="A151" s="108" t="str">
        <f ca="1">IFERROR(__xludf.DUMMYFUNCTION("""COMPUTED_VALUE"""),"178K")</f>
        <v>178K</v>
      </c>
      <c r="B151" s="108">
        <f ca="1">IFERROR(__xludf.DUMMYFUNCTION("""COMPUTED_VALUE"""),92)</f>
        <v>92</v>
      </c>
      <c r="C151" s="108">
        <f ca="1">IFERROR(__xludf.DUMMYFUNCTION("""COMPUTED_VALUE"""),85)</f>
        <v>85</v>
      </c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</row>
    <row r="152" spans="1:27" ht="14.25" customHeight="1" x14ac:dyDescent="0.25">
      <c r="A152" s="108" t="str">
        <f ca="1">IFERROR(__xludf.DUMMYFUNCTION("""COMPUTED_VALUE"""),"179P")</f>
        <v>179P</v>
      </c>
      <c r="B152" s="108" t="str">
        <f ca="1">IFERROR(__xludf.DUMMYFUNCTION("""COMPUTED_VALUE"""),"N.A.")</f>
        <v>N.A.</v>
      </c>
      <c r="C152" s="108" t="str">
        <f ca="1">IFERROR(__xludf.DUMMYFUNCTION("""COMPUTED_VALUE"""),"N.A.")</f>
        <v>N.A.</v>
      </c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</row>
    <row r="153" spans="1:27" ht="14.25" customHeight="1" x14ac:dyDescent="0.25">
      <c r="A153" s="108" t="str">
        <f ca="1">IFERROR(__xludf.DUMMYFUNCTION("""COMPUTED_VALUE"""),"180P")</f>
        <v>180P</v>
      </c>
      <c r="B153" s="108" t="str">
        <f ca="1">IFERROR(__xludf.DUMMYFUNCTION("""COMPUTED_VALUE"""),"N.A.")</f>
        <v>N.A.</v>
      </c>
      <c r="C153" s="108" t="str">
        <f ca="1">IFERROR(__xludf.DUMMYFUNCTION("""COMPUTED_VALUE"""),"N.A.")</f>
        <v>N.A.</v>
      </c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</row>
    <row r="154" spans="1:27" ht="14.25" customHeight="1" x14ac:dyDescent="0.25">
      <c r="A154" s="108" t="str">
        <f ca="1">IFERROR(__xludf.DUMMYFUNCTION("""COMPUTED_VALUE"""),"182K")</f>
        <v>182K</v>
      </c>
      <c r="B154" s="108">
        <f ca="1">IFERROR(__xludf.DUMMYFUNCTION("""COMPUTED_VALUE"""),50)</f>
        <v>50</v>
      </c>
      <c r="C154" s="108">
        <f ca="1">IFERROR(__xludf.DUMMYFUNCTION("""COMPUTED_VALUE"""),48)</f>
        <v>48</v>
      </c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</row>
    <row r="155" spans="1:27" ht="14.25" customHeight="1" x14ac:dyDescent="0.25">
      <c r="A155" s="108" t="str">
        <f ca="1">IFERROR(__xludf.DUMMYFUNCTION("""COMPUTED_VALUE"""),"183K")</f>
        <v>183K</v>
      </c>
      <c r="B155" s="108">
        <f ca="1">IFERROR(__xludf.DUMMYFUNCTION("""COMPUTED_VALUE"""),62)</f>
        <v>62</v>
      </c>
      <c r="C155" s="108">
        <f ca="1">IFERROR(__xludf.DUMMYFUNCTION("""COMPUTED_VALUE"""),26)</f>
        <v>26</v>
      </c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</row>
    <row r="156" spans="1:27" ht="14.25" customHeight="1" x14ac:dyDescent="0.25">
      <c r="A156" s="108" t="str">
        <f ca="1">IFERROR(__xludf.DUMMYFUNCTION("""COMPUTED_VALUE"""),"184P")</f>
        <v>184P</v>
      </c>
      <c r="B156" s="108">
        <f ca="1">IFERROR(__xludf.DUMMYFUNCTION("""COMPUTED_VALUE"""),75)</f>
        <v>75</v>
      </c>
      <c r="C156" s="108">
        <f ca="1">IFERROR(__xludf.DUMMYFUNCTION("""COMPUTED_VALUE"""),67)</f>
        <v>67</v>
      </c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</row>
    <row r="157" spans="1:27" ht="14.25" customHeight="1" x14ac:dyDescent="0.25">
      <c r="A157" s="108" t="str">
        <f ca="1">IFERROR(__xludf.DUMMYFUNCTION("""COMPUTED_VALUE"""),"185P")</f>
        <v>185P</v>
      </c>
      <c r="B157" s="108" t="str">
        <f ca="1">IFERROR(__xludf.DUMMYFUNCTION("""COMPUTED_VALUE"""),"N.A.")</f>
        <v>N.A.</v>
      </c>
      <c r="C157" s="108" t="str">
        <f ca="1">IFERROR(__xludf.DUMMYFUNCTION("""COMPUTED_VALUE"""),"N.A.")</f>
        <v>N.A.</v>
      </c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</row>
    <row r="158" spans="1:27" ht="14.25" customHeight="1" x14ac:dyDescent="0.25">
      <c r="A158" s="108" t="str">
        <f ca="1">IFERROR(__xludf.DUMMYFUNCTION("""COMPUTED_VALUE"""),"187K")</f>
        <v>187K</v>
      </c>
      <c r="B158" s="108">
        <f ca="1">IFERROR(__xludf.DUMMYFUNCTION("""COMPUTED_VALUE"""),115)</f>
        <v>115</v>
      </c>
      <c r="C158" s="108">
        <f ca="1">IFERROR(__xludf.DUMMYFUNCTION("""COMPUTED_VALUE"""),105)</f>
        <v>105</v>
      </c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</row>
    <row r="159" spans="1:27" ht="14.25" customHeight="1" x14ac:dyDescent="0.25">
      <c r="A159" s="108" t="str">
        <f ca="1">IFERROR(__xludf.DUMMYFUNCTION("""COMPUTED_VALUE"""),"188K")</f>
        <v>188K</v>
      </c>
      <c r="B159" s="108">
        <f ca="1">IFERROR(__xludf.DUMMYFUNCTION("""COMPUTED_VALUE"""),52)</f>
        <v>52</v>
      </c>
      <c r="C159" s="108">
        <f ca="1">IFERROR(__xludf.DUMMYFUNCTION("""COMPUTED_VALUE"""),47)</f>
        <v>47</v>
      </c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</row>
    <row r="160" spans="1:27" ht="14.25" customHeight="1" x14ac:dyDescent="0.25">
      <c r="A160" s="108" t="str">
        <f ca="1">IFERROR(__xludf.DUMMYFUNCTION("""COMPUTED_VALUE"""),"189P")</f>
        <v>189P</v>
      </c>
      <c r="B160" s="108">
        <f ca="1">IFERROR(__xludf.DUMMYFUNCTION("""COMPUTED_VALUE"""),102)</f>
        <v>102</v>
      </c>
      <c r="C160" s="108">
        <f ca="1">IFERROR(__xludf.DUMMYFUNCTION("""COMPUTED_VALUE"""),76)</f>
        <v>76</v>
      </c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</row>
    <row r="161" spans="1:27" ht="14.25" customHeight="1" x14ac:dyDescent="0.25">
      <c r="A161" s="108" t="str">
        <f ca="1">IFERROR(__xludf.DUMMYFUNCTION("""COMPUTED_VALUE"""),"190K")</f>
        <v>190K</v>
      </c>
      <c r="B161" s="108" t="str">
        <f ca="1">IFERROR(__xludf.DUMMYFUNCTION("""COMPUTED_VALUE"""),"N.A.")</f>
        <v>N.A.</v>
      </c>
      <c r="C161" s="108" t="str">
        <f ca="1">IFERROR(__xludf.DUMMYFUNCTION("""COMPUTED_VALUE"""),"N.A.")</f>
        <v>N.A.</v>
      </c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</row>
    <row r="162" spans="1:27" ht="14.25" customHeight="1" x14ac:dyDescent="0.25">
      <c r="A162" s="108" t="str">
        <f ca="1">IFERROR(__xludf.DUMMYFUNCTION("""COMPUTED_VALUE"""),"191K")</f>
        <v>191K</v>
      </c>
      <c r="B162" s="108">
        <f ca="1">IFERROR(__xludf.DUMMYFUNCTION("""COMPUTED_VALUE"""),70)</f>
        <v>70</v>
      </c>
      <c r="C162" s="108">
        <f ca="1">IFERROR(__xludf.DUMMYFUNCTION("""COMPUTED_VALUE"""),64)</f>
        <v>64</v>
      </c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</row>
    <row r="163" spans="1:27" ht="14.25" customHeight="1" x14ac:dyDescent="0.25">
      <c r="A163" s="108" t="str">
        <f ca="1">IFERROR(__xludf.DUMMYFUNCTION("""COMPUTED_VALUE"""),"192K")</f>
        <v>192K</v>
      </c>
      <c r="B163" s="108">
        <f ca="1">IFERROR(__xludf.DUMMYFUNCTION("""COMPUTED_VALUE"""),95)</f>
        <v>95</v>
      </c>
      <c r="C163" s="108">
        <f ca="1">IFERROR(__xludf.DUMMYFUNCTION("""COMPUTED_VALUE"""),84)</f>
        <v>84</v>
      </c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</row>
    <row r="164" spans="1:27" ht="14.25" customHeight="1" x14ac:dyDescent="0.25">
      <c r="A164" s="108" t="str">
        <f ca="1">IFERROR(__xludf.DUMMYFUNCTION("""COMPUTED_VALUE"""),"194P")</f>
        <v>194P</v>
      </c>
      <c r="B164" s="108">
        <f ca="1">IFERROR(__xludf.DUMMYFUNCTION("""COMPUTED_VALUE"""),111)</f>
        <v>111</v>
      </c>
      <c r="C164" s="108">
        <f ca="1">IFERROR(__xludf.DUMMYFUNCTION("""COMPUTED_VALUE"""),110)</f>
        <v>110</v>
      </c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</row>
    <row r="165" spans="1:27" ht="14.25" customHeight="1" x14ac:dyDescent="0.25">
      <c r="A165" s="108" t="str">
        <f ca="1">IFERROR(__xludf.DUMMYFUNCTION("""COMPUTED_VALUE"""),"195K")</f>
        <v>195K</v>
      </c>
      <c r="B165" s="108">
        <f ca="1">IFERROR(__xludf.DUMMYFUNCTION("""COMPUTED_VALUE"""),63)</f>
        <v>63</v>
      </c>
      <c r="C165" s="108">
        <f ca="1">IFERROR(__xludf.DUMMYFUNCTION("""COMPUTED_VALUE"""),58)</f>
        <v>58</v>
      </c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</row>
    <row r="166" spans="1:27" ht="14.25" customHeight="1" x14ac:dyDescent="0.25">
      <c r="A166" s="108" t="str">
        <f ca="1">IFERROR(__xludf.DUMMYFUNCTION("""COMPUTED_VALUE"""),"196K")</f>
        <v>196K</v>
      </c>
      <c r="B166" s="108">
        <f ca="1">IFERROR(__xludf.DUMMYFUNCTION("""COMPUTED_VALUE"""),103)</f>
        <v>103</v>
      </c>
      <c r="C166" s="108">
        <f ca="1">IFERROR(__xludf.DUMMYFUNCTION("""COMPUTED_VALUE"""),97)</f>
        <v>97</v>
      </c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</row>
    <row r="167" spans="1:27" ht="14.25" customHeight="1" x14ac:dyDescent="0.25">
      <c r="A167" s="108" t="str">
        <f ca="1">IFERROR(__xludf.DUMMYFUNCTION("""COMPUTED_VALUE"""),"197P")</f>
        <v>197P</v>
      </c>
      <c r="B167" s="108">
        <f ca="1">IFERROR(__xludf.DUMMYFUNCTION("""COMPUTED_VALUE"""),67)</f>
        <v>67</v>
      </c>
      <c r="C167" s="108">
        <f ca="1">IFERROR(__xludf.DUMMYFUNCTION("""COMPUTED_VALUE"""),53)</f>
        <v>53</v>
      </c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</row>
    <row r="168" spans="1:27" ht="14.25" customHeight="1" x14ac:dyDescent="0.25">
      <c r="A168" s="108" t="str">
        <f ca="1">IFERROR(__xludf.DUMMYFUNCTION("""COMPUTED_VALUE"""),"198K")</f>
        <v>198K</v>
      </c>
      <c r="B168" s="108">
        <f ca="1">IFERROR(__xludf.DUMMYFUNCTION("""COMPUTED_VALUE"""),54)</f>
        <v>54</v>
      </c>
      <c r="C168" s="108">
        <f ca="1">IFERROR(__xludf.DUMMYFUNCTION("""COMPUTED_VALUE"""),49)</f>
        <v>49</v>
      </c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</row>
    <row r="169" spans="1:27" ht="14.25" customHeight="1" x14ac:dyDescent="0.25">
      <c r="A169" s="108" t="str">
        <f ca="1">IFERROR(__xludf.DUMMYFUNCTION("""COMPUTED_VALUE"""),"199K")</f>
        <v>199K</v>
      </c>
      <c r="B169" s="108">
        <f ca="1">IFERROR(__xludf.DUMMYFUNCTION("""COMPUTED_VALUE"""),61)</f>
        <v>61</v>
      </c>
      <c r="C169" s="108">
        <f ca="1">IFERROR(__xludf.DUMMYFUNCTION("""COMPUTED_VALUE"""),22)</f>
        <v>22</v>
      </c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</row>
    <row r="170" spans="1:27" ht="14.25" customHeight="1" x14ac:dyDescent="0.25">
      <c r="A170" s="108" t="str">
        <f ca="1">IFERROR(__xludf.DUMMYFUNCTION("""COMPUTED_VALUE"""),"200P")</f>
        <v>200P</v>
      </c>
      <c r="B170" s="108" t="str">
        <f ca="1">IFERROR(__xludf.DUMMYFUNCTION("""COMPUTED_VALUE"""),"N.A.")</f>
        <v>N.A.</v>
      </c>
      <c r="C170" s="108" t="str">
        <f ca="1">IFERROR(__xludf.DUMMYFUNCTION("""COMPUTED_VALUE"""),"N.A.")</f>
        <v>N.A.</v>
      </c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</row>
    <row r="171" spans="1:27" ht="14.25" customHeight="1" x14ac:dyDescent="0.25">
      <c r="A171" s="108" t="str">
        <f ca="1">IFERROR(__xludf.DUMMYFUNCTION("""COMPUTED_VALUE"""),"201K")</f>
        <v>201K</v>
      </c>
      <c r="B171" s="108" t="str">
        <f ca="1">IFERROR(__xludf.DUMMYFUNCTION("""COMPUTED_VALUE"""),"N.A.")</f>
        <v>N.A.</v>
      </c>
      <c r="C171" s="108" t="str">
        <f ca="1">IFERROR(__xludf.DUMMYFUNCTION("""COMPUTED_VALUE"""),"N.A.")</f>
        <v>N.A.</v>
      </c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</row>
    <row r="172" spans="1:27" ht="14.25" customHeight="1" x14ac:dyDescent="0.25">
      <c r="A172" s="108" t="str">
        <f ca="1">IFERROR(__xludf.DUMMYFUNCTION("""COMPUTED_VALUE"""),"203K")</f>
        <v>203K</v>
      </c>
      <c r="B172" s="108">
        <f ca="1">IFERROR(__xludf.DUMMYFUNCTION("""COMPUTED_VALUE"""),98)</f>
        <v>98</v>
      </c>
      <c r="C172" s="108">
        <f ca="1">IFERROR(__xludf.DUMMYFUNCTION("""COMPUTED_VALUE"""),59)</f>
        <v>59</v>
      </c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</row>
    <row r="173" spans="1:27" ht="14.25" customHeight="1" x14ac:dyDescent="0.25">
      <c r="A173" s="108" t="str">
        <f ca="1">IFERROR(__xludf.DUMMYFUNCTION("""COMPUTED_VALUE"""),"206K")</f>
        <v>206K</v>
      </c>
      <c r="B173" s="108">
        <f ca="1">IFERROR(__xludf.DUMMYFUNCTION("""COMPUTED_VALUE"""),77)</f>
        <v>77</v>
      </c>
      <c r="C173" s="108">
        <f ca="1">IFERROR(__xludf.DUMMYFUNCTION("""COMPUTED_VALUE"""),73)</f>
        <v>73</v>
      </c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</row>
    <row r="174" spans="1:27" ht="14.25" customHeight="1" x14ac:dyDescent="0.25">
      <c r="A174" s="108" t="str">
        <f ca="1">IFERROR(__xludf.DUMMYFUNCTION("""COMPUTED_VALUE"""),"207K")</f>
        <v>207K</v>
      </c>
      <c r="B174" s="108">
        <f ca="1">IFERROR(__xludf.DUMMYFUNCTION("""COMPUTED_VALUE"""),77)</f>
        <v>77</v>
      </c>
      <c r="C174" s="108">
        <f ca="1">IFERROR(__xludf.DUMMYFUNCTION("""COMPUTED_VALUE"""),70)</f>
        <v>70</v>
      </c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</row>
    <row r="175" spans="1:27" ht="14.25" customHeight="1" x14ac:dyDescent="0.25">
      <c r="A175" s="108" t="str">
        <f ca="1">IFERROR(__xludf.DUMMYFUNCTION("""COMPUTED_VALUE"""),"208K")</f>
        <v>208K</v>
      </c>
      <c r="B175" s="108">
        <f ca="1">IFERROR(__xludf.DUMMYFUNCTION("""COMPUTED_VALUE"""),74)</f>
        <v>74</v>
      </c>
      <c r="C175" s="108">
        <f ca="1">IFERROR(__xludf.DUMMYFUNCTION("""COMPUTED_VALUE"""),71)</f>
        <v>71</v>
      </c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</row>
    <row r="176" spans="1:27" ht="14.25" customHeight="1" x14ac:dyDescent="0.25">
      <c r="A176" s="108" t="str">
        <f ca="1">IFERROR(__xludf.DUMMYFUNCTION("""COMPUTED_VALUE"""),"209P")</f>
        <v>209P</v>
      </c>
      <c r="B176" s="108" t="str">
        <f ca="1">IFERROR(__xludf.DUMMYFUNCTION("""COMPUTED_VALUE"""),"N.A.")</f>
        <v>N.A.</v>
      </c>
      <c r="C176" s="108" t="str">
        <f ca="1">IFERROR(__xludf.DUMMYFUNCTION("""COMPUTED_VALUE"""),"N.A.")</f>
        <v>N.A.</v>
      </c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</row>
    <row r="177" spans="1:27" ht="14.25" customHeight="1" x14ac:dyDescent="0.25">
      <c r="A177" s="108" t="str">
        <f ca="1">IFERROR(__xludf.DUMMYFUNCTION("""COMPUTED_VALUE"""),"210K")</f>
        <v>210K</v>
      </c>
      <c r="B177" s="108">
        <f ca="1">IFERROR(__xludf.DUMMYFUNCTION("""COMPUTED_VALUE"""),66)</f>
        <v>66</v>
      </c>
      <c r="C177" s="108">
        <f ca="1">IFERROR(__xludf.DUMMYFUNCTION("""COMPUTED_VALUE"""),65)</f>
        <v>65</v>
      </c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</row>
    <row r="178" spans="1:27" ht="14.25" customHeight="1" x14ac:dyDescent="0.25">
      <c r="A178" s="108" t="str">
        <f ca="1">IFERROR(__xludf.DUMMYFUNCTION("""COMPUTED_VALUE"""),"211K")</f>
        <v>211K</v>
      </c>
      <c r="B178" s="108">
        <f ca="1">IFERROR(__xludf.DUMMYFUNCTION("""COMPUTED_VALUE"""),59)</f>
        <v>59</v>
      </c>
      <c r="C178" s="108">
        <f ca="1">IFERROR(__xludf.DUMMYFUNCTION("""COMPUTED_VALUE"""),52)</f>
        <v>52</v>
      </c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</row>
    <row r="179" spans="1:27" ht="14.25" customHeight="1" x14ac:dyDescent="0.25">
      <c r="A179" s="108" t="str">
        <f ca="1">IFERROR(__xludf.DUMMYFUNCTION("""COMPUTED_VALUE"""),"212P")</f>
        <v>212P</v>
      </c>
      <c r="B179" s="108">
        <f ca="1">IFERROR(__xludf.DUMMYFUNCTION("""COMPUTED_VALUE"""),98)</f>
        <v>98</v>
      </c>
      <c r="C179" s="108">
        <f ca="1">IFERROR(__xludf.DUMMYFUNCTION("""COMPUTED_VALUE"""),96)</f>
        <v>96</v>
      </c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</row>
    <row r="180" spans="1:27" ht="14.25" customHeight="1" x14ac:dyDescent="0.25">
      <c r="A180" s="108" t="str">
        <f ca="1">IFERROR(__xludf.DUMMYFUNCTION("""COMPUTED_VALUE"""),"213P")</f>
        <v>213P</v>
      </c>
      <c r="B180" s="108">
        <f ca="1">IFERROR(__xludf.DUMMYFUNCTION("""COMPUTED_VALUE"""),73)</f>
        <v>73</v>
      </c>
      <c r="C180" s="108">
        <f ca="1">IFERROR(__xludf.DUMMYFUNCTION("""COMPUTED_VALUE"""),56)</f>
        <v>56</v>
      </c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</row>
    <row r="181" spans="1:27" ht="14.25" customHeight="1" x14ac:dyDescent="0.25">
      <c r="A181" s="108" t="str">
        <f ca="1">IFERROR(__xludf.DUMMYFUNCTION("""COMPUTED_VALUE"""),"214K")</f>
        <v>214K</v>
      </c>
      <c r="B181" s="108">
        <f ca="1">IFERROR(__xludf.DUMMYFUNCTION("""COMPUTED_VALUE"""),101)</f>
        <v>101</v>
      </c>
      <c r="C181" s="108">
        <f ca="1">IFERROR(__xludf.DUMMYFUNCTION("""COMPUTED_VALUE"""),95)</f>
        <v>95</v>
      </c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</row>
    <row r="182" spans="1:27" ht="14.25" customHeight="1" x14ac:dyDescent="0.25">
      <c r="A182" s="108" t="str">
        <f ca="1">IFERROR(__xludf.DUMMYFUNCTION("""COMPUTED_VALUE"""),"215K")</f>
        <v>215K</v>
      </c>
      <c r="B182" s="108">
        <f ca="1">IFERROR(__xludf.DUMMYFUNCTION("""COMPUTED_VALUE"""),100)</f>
        <v>100</v>
      </c>
      <c r="C182" s="108">
        <f ca="1">IFERROR(__xludf.DUMMYFUNCTION("""COMPUTED_VALUE"""),99)</f>
        <v>99</v>
      </c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</row>
    <row r="183" spans="1:27" ht="14.25" customHeight="1" x14ac:dyDescent="0.25">
      <c r="A183" s="108" t="str">
        <f ca="1">IFERROR(__xludf.DUMMYFUNCTION("""COMPUTED_VALUE"""),"218K")</f>
        <v>218K</v>
      </c>
      <c r="B183" s="108">
        <f ca="1">IFERROR(__xludf.DUMMYFUNCTION("""COMPUTED_VALUE"""),93)</f>
        <v>93</v>
      </c>
      <c r="C183" s="108">
        <f ca="1">IFERROR(__xludf.DUMMYFUNCTION("""COMPUTED_VALUE"""),92)</f>
        <v>92</v>
      </c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</row>
    <row r="184" spans="1:27" ht="14.25" customHeight="1" x14ac:dyDescent="0.25">
      <c r="A184" s="108" t="str">
        <f ca="1">IFERROR(__xludf.DUMMYFUNCTION("""COMPUTED_VALUE"""),"219K")</f>
        <v>219K</v>
      </c>
      <c r="B184" s="108">
        <f ca="1">IFERROR(__xludf.DUMMYFUNCTION("""COMPUTED_VALUE"""),62)</f>
        <v>62</v>
      </c>
      <c r="C184" s="108">
        <f ca="1">IFERROR(__xludf.DUMMYFUNCTION("""COMPUTED_VALUE"""),0)</f>
        <v>0</v>
      </c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</row>
    <row r="185" spans="1:27" ht="14.25" customHeight="1" x14ac:dyDescent="0.25">
      <c r="A185" s="108" t="str">
        <f ca="1">IFERROR(__xludf.DUMMYFUNCTION("""COMPUTED_VALUE"""),"220K")</f>
        <v>220K</v>
      </c>
      <c r="B185" s="108">
        <f ca="1">IFERROR(__xludf.DUMMYFUNCTION("""COMPUTED_VALUE"""),80)</f>
        <v>80</v>
      </c>
      <c r="C185" s="108">
        <f ca="1">IFERROR(__xludf.DUMMYFUNCTION("""COMPUTED_VALUE"""),78)</f>
        <v>78</v>
      </c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</row>
    <row r="186" spans="1:27" ht="14.25" customHeight="1" x14ac:dyDescent="0.25">
      <c r="A186" s="108" t="str">
        <f ca="1">IFERROR(__xludf.DUMMYFUNCTION("""COMPUTED_VALUE"""),"223K")</f>
        <v>223K</v>
      </c>
      <c r="B186" s="108" t="str">
        <f ca="1">IFERROR(__xludf.DUMMYFUNCTION("""COMPUTED_VALUE"""),"N.A.")</f>
        <v>N.A.</v>
      </c>
      <c r="C186" s="108" t="str">
        <f ca="1">IFERROR(__xludf.DUMMYFUNCTION("""COMPUTED_VALUE"""),"N.A.")</f>
        <v>N.A.</v>
      </c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</row>
    <row r="187" spans="1:27" ht="14.25" customHeight="1" x14ac:dyDescent="0.25">
      <c r="A187" s="108" t="str">
        <f ca="1">IFERROR(__xludf.DUMMYFUNCTION("""COMPUTED_VALUE"""),"227K")</f>
        <v>227K</v>
      </c>
      <c r="B187" s="108" t="str">
        <f ca="1">IFERROR(__xludf.DUMMYFUNCTION("""COMPUTED_VALUE"""),"N.A.")</f>
        <v>N.A.</v>
      </c>
      <c r="C187" s="108" t="str">
        <f ca="1">IFERROR(__xludf.DUMMYFUNCTION("""COMPUTED_VALUE"""),"N.A.")</f>
        <v>N.A.</v>
      </c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</row>
    <row r="188" spans="1:27" ht="14.25" customHeight="1" x14ac:dyDescent="0.25">
      <c r="A188" s="108" t="str">
        <f ca="1">IFERROR(__xludf.DUMMYFUNCTION("""COMPUTED_VALUE"""),"228P")</f>
        <v>228P</v>
      </c>
      <c r="B188" s="108" t="str">
        <f ca="1">IFERROR(__xludf.DUMMYFUNCTION("""COMPUTED_VALUE"""),"N.A.")</f>
        <v>N.A.</v>
      </c>
      <c r="C188" s="108" t="str">
        <f ca="1">IFERROR(__xludf.DUMMYFUNCTION("""COMPUTED_VALUE"""),"N.A.")</f>
        <v>N.A.</v>
      </c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</row>
    <row r="189" spans="1:27" ht="14.25" customHeight="1" x14ac:dyDescent="0.25">
      <c r="A189" s="108" t="str">
        <f ca="1">IFERROR(__xludf.DUMMYFUNCTION("""COMPUTED_VALUE"""),"229K")</f>
        <v>229K</v>
      </c>
      <c r="B189" s="108" t="str">
        <f ca="1">IFERROR(__xludf.DUMMYFUNCTION("""COMPUTED_VALUE"""),"N.A.")</f>
        <v>N.A.</v>
      </c>
      <c r="C189" s="108" t="str">
        <f ca="1">IFERROR(__xludf.DUMMYFUNCTION("""COMPUTED_VALUE"""),"N.A.")</f>
        <v>N.A.</v>
      </c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</row>
    <row r="190" spans="1:27" ht="14.25" customHeight="1" x14ac:dyDescent="0.25">
      <c r="A190" s="108" t="str">
        <f ca="1">IFERROR(__xludf.DUMMYFUNCTION("""COMPUTED_VALUE"""),"230K")</f>
        <v>230K</v>
      </c>
      <c r="B190" s="108" t="str">
        <f ca="1">IFERROR(__xludf.DUMMYFUNCTION("""COMPUTED_VALUE"""),"N.A.")</f>
        <v>N.A.</v>
      </c>
      <c r="C190" s="108" t="str">
        <f ca="1">IFERROR(__xludf.DUMMYFUNCTION("""COMPUTED_VALUE"""),"N.A.")</f>
        <v>N.A.</v>
      </c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</row>
    <row r="191" spans="1:27" ht="14.25" customHeight="1" x14ac:dyDescent="0.25">
      <c r="A191" s="108" t="str">
        <f ca="1">IFERROR(__xludf.DUMMYFUNCTION("""COMPUTED_VALUE"""),"231K")</f>
        <v>231K</v>
      </c>
      <c r="B191" s="108" t="str">
        <f ca="1">IFERROR(__xludf.DUMMYFUNCTION("""COMPUTED_VALUE"""),"N.A.")</f>
        <v>N.A.</v>
      </c>
      <c r="C191" s="108" t="str">
        <f ca="1">IFERROR(__xludf.DUMMYFUNCTION("""COMPUTED_VALUE"""),"N.A.")</f>
        <v>N.A.</v>
      </c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</row>
    <row r="192" spans="1:27" ht="14.25" customHeight="1" x14ac:dyDescent="0.25">
      <c r="A192" s="108" t="str">
        <f ca="1">IFERROR(__xludf.DUMMYFUNCTION("""COMPUTED_VALUE"""),"232K")</f>
        <v>232K</v>
      </c>
      <c r="B192" s="108" t="str">
        <f ca="1">IFERROR(__xludf.DUMMYFUNCTION("""COMPUTED_VALUE"""),"N.A.")</f>
        <v>N.A.</v>
      </c>
      <c r="C192" s="108" t="str">
        <f ca="1">IFERROR(__xludf.DUMMYFUNCTION("""COMPUTED_VALUE"""),"N.A.")</f>
        <v>N.A.</v>
      </c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</row>
    <row r="193" spans="1:27" ht="14.25" customHeight="1" x14ac:dyDescent="0.25">
      <c r="A193" s="108" t="str">
        <f ca="1">IFERROR(__xludf.DUMMYFUNCTION("""COMPUTED_VALUE"""),"233K")</f>
        <v>233K</v>
      </c>
      <c r="B193" s="108" t="str">
        <f ca="1">IFERROR(__xludf.DUMMYFUNCTION("""COMPUTED_VALUE"""),"N.A.")</f>
        <v>N.A.</v>
      </c>
      <c r="C193" s="108" t="str">
        <f ca="1">IFERROR(__xludf.DUMMYFUNCTION("""COMPUTED_VALUE"""),"N.A.")</f>
        <v>N.A.</v>
      </c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</row>
    <row r="194" spans="1:27" ht="14.25" customHeight="1" x14ac:dyDescent="0.25">
      <c r="A194" s="108" t="str">
        <f ca="1">IFERROR(__xludf.DUMMYFUNCTION("""COMPUTED_VALUE"""),"234K")</f>
        <v>234K</v>
      </c>
      <c r="B194" s="108" t="str">
        <f ca="1">IFERROR(__xludf.DUMMYFUNCTION("""COMPUTED_VALUE"""),"N.A.")</f>
        <v>N.A.</v>
      </c>
      <c r="C194" s="108" t="str">
        <f ca="1">IFERROR(__xludf.DUMMYFUNCTION("""COMPUTED_VALUE"""),"N.A.")</f>
        <v>N.A.</v>
      </c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</row>
    <row r="195" spans="1:27" ht="14.25" customHeight="1" x14ac:dyDescent="0.25">
      <c r="A195" s="108" t="str">
        <f ca="1">IFERROR(__xludf.DUMMYFUNCTION("""COMPUTED_VALUE"""),"235K")</f>
        <v>235K</v>
      </c>
      <c r="B195" s="108">
        <f ca="1">IFERROR(__xludf.DUMMYFUNCTION("""COMPUTED_VALUE"""),67)</f>
        <v>67</v>
      </c>
      <c r="C195" s="108">
        <f ca="1">IFERROR(__xludf.DUMMYFUNCTION("""COMPUTED_VALUE"""),56)</f>
        <v>56</v>
      </c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</row>
    <row r="196" spans="1:27" ht="14.25" customHeight="1" x14ac:dyDescent="0.25">
      <c r="A196" s="70"/>
      <c r="B196" s="70"/>
      <c r="C196" s="70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</row>
    <row r="197" spans="1:27" ht="14.25" customHeight="1" x14ac:dyDescent="0.25">
      <c r="A197" s="70"/>
      <c r="B197" s="70"/>
      <c r="C197" s="70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</row>
    <row r="198" spans="1:27" ht="14.25" customHeight="1" x14ac:dyDescent="0.25">
      <c r="A198" s="70"/>
      <c r="B198" s="70"/>
      <c r="C198" s="70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</row>
    <row r="199" spans="1:27" ht="14.25" customHeight="1" x14ac:dyDescent="0.25">
      <c r="A199" s="70"/>
      <c r="B199" s="70"/>
      <c r="C199" s="70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</row>
    <row r="200" spans="1:27" ht="14.25" customHeight="1" x14ac:dyDescent="0.25">
      <c r="A200" s="70"/>
      <c r="B200" s="70"/>
      <c r="C200" s="70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</row>
    <row r="201" spans="1:27" ht="14.25" customHeight="1" x14ac:dyDescent="0.25">
      <c r="A201" s="70"/>
      <c r="B201" s="70"/>
      <c r="C201" s="70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</row>
    <row r="202" spans="1:27" ht="14.25" customHeight="1" x14ac:dyDescent="0.25">
      <c r="A202" s="70"/>
      <c r="B202" s="70"/>
      <c r="C202" s="70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</row>
    <row r="203" spans="1:27" ht="14.25" customHeight="1" x14ac:dyDescent="0.25">
      <c r="A203" s="70"/>
      <c r="B203" s="70"/>
      <c r="C203" s="70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</row>
    <row r="204" spans="1:27" ht="14.25" customHeight="1" x14ac:dyDescent="0.25">
      <c r="A204" s="70"/>
      <c r="B204" s="70"/>
      <c r="C204" s="70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</row>
    <row r="205" spans="1:27" ht="14.25" customHeight="1" x14ac:dyDescent="0.25">
      <c r="A205" s="70"/>
      <c r="B205" s="70"/>
      <c r="C205" s="70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</row>
    <row r="206" spans="1:27" ht="14.25" customHeight="1" x14ac:dyDescent="0.25">
      <c r="A206" s="70"/>
      <c r="B206" s="70"/>
      <c r="C206" s="70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</row>
    <row r="207" spans="1:27" ht="14.25" customHeight="1" x14ac:dyDescent="0.25">
      <c r="A207" s="70"/>
      <c r="B207" s="70"/>
      <c r="C207" s="70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</row>
    <row r="208" spans="1:27" ht="14.25" customHeight="1" x14ac:dyDescent="0.25">
      <c r="A208" s="70"/>
      <c r="B208" s="70"/>
      <c r="C208" s="70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</row>
    <row r="209" spans="1:27" ht="14.25" customHeight="1" x14ac:dyDescent="0.25">
      <c r="A209" s="70"/>
      <c r="B209" s="70"/>
      <c r="C209" s="70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</row>
    <row r="210" spans="1:27" ht="14.25" customHeight="1" x14ac:dyDescent="0.25">
      <c r="A210" s="70"/>
      <c r="B210" s="70"/>
      <c r="C210" s="70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</row>
    <row r="211" spans="1:27" ht="14.25" customHeight="1" x14ac:dyDescent="0.25">
      <c r="A211" s="70"/>
      <c r="B211" s="70"/>
      <c r="C211" s="70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</row>
    <row r="212" spans="1:27" ht="14.25" customHeight="1" x14ac:dyDescent="0.25">
      <c r="A212" s="70"/>
      <c r="B212" s="70"/>
      <c r="C212" s="70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</row>
    <row r="213" spans="1:27" ht="14.25" customHeight="1" x14ac:dyDescent="0.25">
      <c r="A213" s="70"/>
      <c r="B213" s="70"/>
      <c r="C213" s="70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</row>
    <row r="214" spans="1:27" ht="14.25" customHeight="1" x14ac:dyDescent="0.25">
      <c r="A214" s="70"/>
      <c r="B214" s="70"/>
      <c r="C214" s="70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</row>
    <row r="215" spans="1:27" ht="14.25" customHeight="1" x14ac:dyDescent="0.25">
      <c r="A215" s="70"/>
      <c r="B215" s="70"/>
      <c r="C215" s="70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</row>
    <row r="216" spans="1:27" ht="14.25" customHeight="1" x14ac:dyDescent="0.25">
      <c r="A216" s="70"/>
      <c r="B216" s="70"/>
      <c r="C216" s="70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</row>
    <row r="217" spans="1:27" ht="14.25" customHeight="1" x14ac:dyDescent="0.25">
      <c r="A217" s="70"/>
      <c r="B217" s="70"/>
      <c r="C217" s="70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</row>
    <row r="218" spans="1:27" ht="14.25" customHeight="1" x14ac:dyDescent="0.25">
      <c r="A218" s="70"/>
      <c r="B218" s="70"/>
      <c r="C218" s="70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</row>
    <row r="219" spans="1:27" ht="14.25" customHeight="1" x14ac:dyDescent="0.25">
      <c r="A219" s="70"/>
      <c r="B219" s="70"/>
      <c r="C219" s="70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</row>
    <row r="220" spans="1:27" ht="14.25" customHeight="1" x14ac:dyDescent="0.25">
      <c r="A220" s="70"/>
      <c r="B220" s="70"/>
      <c r="C220" s="70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</row>
    <row r="221" spans="1:27" ht="14.25" customHeight="1" x14ac:dyDescent="0.25">
      <c r="A221" s="70"/>
      <c r="B221" s="70"/>
      <c r="C221" s="70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</row>
    <row r="222" spans="1:27" ht="14.25" customHeight="1" x14ac:dyDescent="0.25">
      <c r="A222" s="70"/>
      <c r="B222" s="70"/>
      <c r="C222" s="70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</row>
    <row r="223" spans="1:27" ht="14.25" customHeight="1" x14ac:dyDescent="0.25">
      <c r="A223" s="70"/>
      <c r="B223" s="70"/>
      <c r="C223" s="70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</row>
    <row r="224" spans="1:27" ht="14.25" customHeight="1" x14ac:dyDescent="0.25">
      <c r="A224" s="70"/>
      <c r="B224" s="70"/>
      <c r="C224" s="70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</row>
    <row r="225" spans="1:27" ht="14.25" customHeight="1" x14ac:dyDescent="0.25">
      <c r="A225" s="70"/>
      <c r="B225" s="70"/>
      <c r="C225" s="70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</row>
    <row r="226" spans="1:27" ht="14.25" customHeight="1" x14ac:dyDescent="0.25">
      <c r="A226" s="70"/>
      <c r="B226" s="70"/>
      <c r="C226" s="70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</row>
    <row r="227" spans="1:27" ht="14.25" customHeight="1" x14ac:dyDescent="0.25">
      <c r="A227" s="70"/>
      <c r="B227" s="70"/>
      <c r="C227" s="70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</row>
    <row r="228" spans="1:27" ht="14.25" customHeight="1" x14ac:dyDescent="0.25">
      <c r="A228" s="70"/>
      <c r="B228" s="70"/>
      <c r="C228" s="70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</row>
    <row r="229" spans="1:27" ht="14.25" customHeight="1" x14ac:dyDescent="0.25">
      <c r="A229" s="70"/>
      <c r="B229" s="70"/>
      <c r="C229" s="70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</row>
    <row r="230" spans="1:27" ht="14.25" customHeight="1" x14ac:dyDescent="0.25">
      <c r="A230" s="70"/>
      <c r="B230" s="70"/>
      <c r="C230" s="70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</row>
    <row r="231" spans="1:27" ht="14.25" customHeight="1" x14ac:dyDescent="0.25">
      <c r="A231" s="70"/>
      <c r="B231" s="70"/>
      <c r="C231" s="70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</row>
    <row r="232" spans="1:27" ht="14.25" customHeight="1" x14ac:dyDescent="0.25">
      <c r="A232" s="70"/>
      <c r="B232" s="70"/>
      <c r="C232" s="70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</row>
    <row r="233" spans="1:27" ht="14.25" customHeight="1" x14ac:dyDescent="0.25">
      <c r="A233" s="70"/>
      <c r="B233" s="70"/>
      <c r="C233" s="70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</row>
    <row r="234" spans="1:27" ht="14.25" customHeight="1" x14ac:dyDescent="0.25">
      <c r="A234" s="70"/>
      <c r="B234" s="70"/>
      <c r="C234" s="70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</row>
    <row r="235" spans="1:27" ht="14.25" customHeight="1" x14ac:dyDescent="0.25">
      <c r="A235" s="70"/>
      <c r="B235" s="70"/>
      <c r="C235" s="70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</row>
    <row r="236" spans="1:27" ht="14.25" customHeight="1" x14ac:dyDescent="0.25">
      <c r="A236" s="70"/>
      <c r="B236" s="70"/>
      <c r="C236" s="70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</row>
    <row r="237" spans="1:27" ht="14.25" customHeight="1" x14ac:dyDescent="0.2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</row>
    <row r="238" spans="1:27" ht="14.25" customHeight="1" x14ac:dyDescent="0.2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</row>
    <row r="239" spans="1:27" ht="14.25" customHeight="1" x14ac:dyDescent="0.2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</row>
    <row r="240" spans="1:27" ht="14.25" customHeight="1" x14ac:dyDescent="0.2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</row>
    <row r="241" spans="1:27" ht="14.25" customHeight="1" x14ac:dyDescent="0.2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</row>
    <row r="242" spans="1:27" ht="14.25" customHeight="1" x14ac:dyDescent="0.2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</row>
    <row r="243" spans="1:27" ht="14.25" customHeight="1" x14ac:dyDescent="0.2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</row>
    <row r="244" spans="1:27" ht="14.25" customHeight="1" x14ac:dyDescent="0.2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</row>
    <row r="245" spans="1:27" ht="14.25" customHeight="1" x14ac:dyDescent="0.2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</row>
    <row r="246" spans="1:27" ht="14.25" customHeight="1" x14ac:dyDescent="0.2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</row>
    <row r="247" spans="1:27" ht="14.25" customHeight="1" x14ac:dyDescent="0.2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</row>
    <row r="248" spans="1:27" ht="14.25" customHeight="1" x14ac:dyDescent="0.2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</row>
    <row r="249" spans="1:27" ht="14.25" customHeight="1" x14ac:dyDescent="0.2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</row>
    <row r="250" spans="1:27" ht="14.25" customHeight="1" x14ac:dyDescent="0.2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</row>
    <row r="251" spans="1:27" ht="14.25" customHeight="1" x14ac:dyDescent="0.2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</row>
    <row r="252" spans="1:27" ht="14.25" customHeight="1" x14ac:dyDescent="0.2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</row>
    <row r="253" spans="1:27" ht="14.25" customHeight="1" x14ac:dyDescent="0.2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</row>
    <row r="254" spans="1:27" ht="14.25" customHeight="1" x14ac:dyDescent="0.2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</row>
    <row r="255" spans="1:27" ht="14.25" customHeight="1" x14ac:dyDescent="0.2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</row>
    <row r="256" spans="1:27" ht="14.25" customHeight="1" x14ac:dyDescent="0.2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</row>
    <row r="257" spans="1:27" ht="14.25" customHeight="1" x14ac:dyDescent="0.2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</row>
    <row r="258" spans="1:27" ht="14.25" customHeight="1" x14ac:dyDescent="0.2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</row>
    <row r="259" spans="1:27" ht="14.25" customHeight="1" x14ac:dyDescent="0.2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</row>
    <row r="260" spans="1:27" ht="14.25" customHeight="1" x14ac:dyDescent="0.2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</row>
    <row r="261" spans="1:27" ht="14.25" customHeight="1" x14ac:dyDescent="0.2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</row>
    <row r="262" spans="1:27" ht="14.25" customHeight="1" x14ac:dyDescent="0.2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</row>
    <row r="263" spans="1:27" ht="14.25" customHeight="1" x14ac:dyDescent="0.2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</row>
    <row r="264" spans="1:27" ht="14.25" customHeight="1" x14ac:dyDescent="0.2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</row>
    <row r="265" spans="1:27" ht="14.25" customHeight="1" x14ac:dyDescent="0.2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</row>
    <row r="266" spans="1:27" ht="14.25" customHeight="1" x14ac:dyDescent="0.2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</row>
    <row r="267" spans="1:27" ht="14.25" customHeight="1" x14ac:dyDescent="0.2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</row>
    <row r="268" spans="1:27" ht="14.25" customHeight="1" x14ac:dyDescent="0.2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</row>
    <row r="269" spans="1:27" ht="14.25" customHeight="1" x14ac:dyDescent="0.2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</row>
    <row r="270" spans="1:27" ht="14.25" customHeight="1" x14ac:dyDescent="0.2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</row>
    <row r="271" spans="1:27" ht="14.25" customHeight="1" x14ac:dyDescent="0.2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</row>
    <row r="272" spans="1:27" ht="14.25" customHeight="1" x14ac:dyDescent="0.2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</row>
    <row r="273" spans="1:27" ht="14.25" customHeight="1" x14ac:dyDescent="0.2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</row>
    <row r="274" spans="1:27" ht="14.25" customHeight="1" x14ac:dyDescent="0.2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</row>
    <row r="275" spans="1:27" ht="14.25" customHeight="1" x14ac:dyDescent="0.2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</row>
    <row r="276" spans="1:27" ht="14.25" customHeight="1" x14ac:dyDescent="0.2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</row>
    <row r="277" spans="1:27" ht="14.25" customHeight="1" x14ac:dyDescent="0.2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</row>
    <row r="278" spans="1:27" ht="14.25" customHeight="1" x14ac:dyDescent="0.2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</row>
    <row r="279" spans="1:27" ht="14.25" customHeight="1" x14ac:dyDescent="0.2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</row>
    <row r="280" spans="1:27" ht="14.25" customHeight="1" x14ac:dyDescent="0.2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</row>
    <row r="281" spans="1:27" ht="14.25" customHeight="1" x14ac:dyDescent="0.2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</row>
    <row r="282" spans="1:27" ht="14.25" customHeight="1" x14ac:dyDescent="0.2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</row>
    <row r="283" spans="1:27" ht="14.25" customHeight="1" x14ac:dyDescent="0.2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</row>
    <row r="284" spans="1:27" ht="14.25" customHeight="1" x14ac:dyDescent="0.2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</row>
    <row r="285" spans="1:27" ht="14.25" customHeight="1" x14ac:dyDescent="0.2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</row>
    <row r="286" spans="1:27" ht="14.25" customHeight="1" x14ac:dyDescent="0.2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</row>
    <row r="287" spans="1:27" ht="14.25" customHeight="1" x14ac:dyDescent="0.2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</row>
    <row r="288" spans="1:27" ht="14.25" customHeight="1" x14ac:dyDescent="0.2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</row>
    <row r="289" spans="1:27" ht="14.25" customHeight="1" x14ac:dyDescent="0.2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</row>
    <row r="290" spans="1:27" ht="14.25" customHeight="1" x14ac:dyDescent="0.2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</row>
    <row r="291" spans="1:27" ht="14.25" customHeight="1" x14ac:dyDescent="0.2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</row>
    <row r="292" spans="1:27" ht="14.25" customHeight="1" x14ac:dyDescent="0.2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</row>
    <row r="293" spans="1:27" ht="14.25" customHeight="1" x14ac:dyDescent="0.2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</row>
    <row r="294" spans="1:27" ht="14.25" customHeight="1" x14ac:dyDescent="0.2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</row>
    <row r="295" spans="1:27" ht="14.25" customHeight="1" x14ac:dyDescent="0.2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</row>
    <row r="296" spans="1:27" ht="14.25" customHeight="1" x14ac:dyDescent="0.2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</row>
    <row r="297" spans="1:27" ht="14.25" customHeight="1" x14ac:dyDescent="0.2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</row>
    <row r="298" spans="1:27" ht="14.25" customHeight="1" x14ac:dyDescent="0.2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</row>
    <row r="299" spans="1:27" ht="14.25" customHeight="1" x14ac:dyDescent="0.2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</row>
    <row r="300" spans="1:27" ht="14.25" customHeight="1" x14ac:dyDescent="0.2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</row>
    <row r="301" spans="1:27" ht="14.25" customHeight="1" x14ac:dyDescent="0.2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</row>
    <row r="302" spans="1:27" ht="14.25" customHeight="1" x14ac:dyDescent="0.2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</row>
    <row r="303" spans="1:27" ht="14.25" customHeight="1" x14ac:dyDescent="0.2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</row>
    <row r="304" spans="1:27" ht="14.25" customHeight="1" x14ac:dyDescent="0.2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</row>
    <row r="305" spans="1:27" ht="14.25" customHeight="1" x14ac:dyDescent="0.2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</row>
    <row r="306" spans="1:27" ht="14.25" customHeight="1" x14ac:dyDescent="0.2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</row>
    <row r="307" spans="1:27" ht="14.25" customHeight="1" x14ac:dyDescent="0.2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</row>
    <row r="308" spans="1:27" ht="14.25" customHeight="1" x14ac:dyDescent="0.2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</row>
    <row r="309" spans="1:27" ht="14.25" customHeight="1" x14ac:dyDescent="0.2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</row>
    <row r="310" spans="1:27" ht="14.25" customHeight="1" x14ac:dyDescent="0.2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</row>
    <row r="311" spans="1:27" ht="14.25" customHeight="1" x14ac:dyDescent="0.2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</row>
    <row r="312" spans="1:27" ht="14.25" customHeight="1" x14ac:dyDescent="0.2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</row>
    <row r="313" spans="1:27" ht="14.25" customHeight="1" x14ac:dyDescent="0.2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</row>
    <row r="314" spans="1:27" ht="14.25" customHeight="1" x14ac:dyDescent="0.2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</row>
    <row r="315" spans="1:27" ht="14.25" customHeight="1" x14ac:dyDescent="0.2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</row>
    <row r="316" spans="1:27" ht="14.25" customHeight="1" x14ac:dyDescent="0.2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</row>
    <row r="317" spans="1:27" ht="14.25" customHeight="1" x14ac:dyDescent="0.2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</row>
    <row r="318" spans="1:27" ht="14.25" customHeight="1" x14ac:dyDescent="0.2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</row>
    <row r="319" spans="1:27" ht="14.25" customHeight="1" x14ac:dyDescent="0.2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</row>
    <row r="320" spans="1:27" ht="14.25" customHeight="1" x14ac:dyDescent="0.2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</row>
    <row r="321" spans="1:27" ht="14.25" customHeight="1" x14ac:dyDescent="0.2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</row>
    <row r="322" spans="1:27" ht="14.25" customHeight="1" x14ac:dyDescent="0.2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</row>
    <row r="323" spans="1:27" ht="14.25" customHeight="1" x14ac:dyDescent="0.2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</row>
    <row r="324" spans="1:27" ht="14.25" customHeight="1" x14ac:dyDescent="0.2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</row>
    <row r="325" spans="1:27" ht="14.25" customHeight="1" x14ac:dyDescent="0.2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</row>
    <row r="326" spans="1:27" ht="14.25" customHeight="1" x14ac:dyDescent="0.2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</row>
    <row r="327" spans="1:27" ht="14.25" customHeight="1" x14ac:dyDescent="0.2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</row>
    <row r="328" spans="1:27" ht="14.25" customHeight="1" x14ac:dyDescent="0.2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</row>
    <row r="329" spans="1:27" ht="14.25" customHeight="1" x14ac:dyDescent="0.2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</row>
    <row r="330" spans="1:27" ht="14.25" customHeight="1" x14ac:dyDescent="0.2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</row>
    <row r="331" spans="1:27" ht="14.25" customHeight="1" x14ac:dyDescent="0.2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</row>
    <row r="332" spans="1:27" ht="14.25" customHeight="1" x14ac:dyDescent="0.2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</row>
    <row r="333" spans="1:27" ht="14.25" customHeight="1" x14ac:dyDescent="0.2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</row>
    <row r="334" spans="1:27" ht="14.25" customHeight="1" x14ac:dyDescent="0.2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</row>
    <row r="335" spans="1:27" ht="14.25" customHeight="1" x14ac:dyDescent="0.2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</row>
    <row r="336" spans="1:27" ht="14.25" customHeight="1" x14ac:dyDescent="0.2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</row>
    <row r="337" spans="1:27" ht="14.25" customHeight="1" x14ac:dyDescent="0.2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</row>
    <row r="338" spans="1:27" ht="14.25" customHeight="1" x14ac:dyDescent="0.2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</row>
    <row r="339" spans="1:27" ht="14.25" customHeight="1" x14ac:dyDescent="0.2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</row>
    <row r="340" spans="1:27" ht="14.25" customHeight="1" x14ac:dyDescent="0.2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</row>
    <row r="341" spans="1:27" ht="14.25" customHeight="1" x14ac:dyDescent="0.2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</row>
    <row r="342" spans="1:27" ht="14.25" customHeight="1" x14ac:dyDescent="0.2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</row>
    <row r="343" spans="1:27" ht="14.25" customHeight="1" x14ac:dyDescent="0.2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</row>
    <row r="344" spans="1:27" ht="14.25" customHeight="1" x14ac:dyDescent="0.2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</row>
    <row r="345" spans="1:27" ht="14.25" customHeight="1" x14ac:dyDescent="0.2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</row>
    <row r="346" spans="1:27" ht="14.25" customHeight="1" x14ac:dyDescent="0.2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</row>
    <row r="347" spans="1:27" ht="14.25" customHeight="1" x14ac:dyDescent="0.2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</row>
    <row r="348" spans="1:27" ht="14.25" customHeight="1" x14ac:dyDescent="0.2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</row>
    <row r="349" spans="1:27" ht="14.25" customHeight="1" x14ac:dyDescent="0.2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</row>
    <row r="350" spans="1:27" ht="14.25" customHeight="1" x14ac:dyDescent="0.2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</row>
    <row r="351" spans="1:27" ht="14.25" customHeight="1" x14ac:dyDescent="0.2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</row>
    <row r="352" spans="1:27" ht="14.25" customHeight="1" x14ac:dyDescent="0.2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</row>
    <row r="353" spans="1:27" ht="14.25" customHeight="1" x14ac:dyDescent="0.2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</row>
    <row r="354" spans="1:27" ht="14.25" customHeight="1" x14ac:dyDescent="0.2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</row>
    <row r="355" spans="1:27" ht="14.25" customHeight="1" x14ac:dyDescent="0.2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</row>
    <row r="356" spans="1:27" ht="14.25" customHeight="1" x14ac:dyDescent="0.2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</row>
    <row r="357" spans="1:27" ht="14.25" customHeight="1" x14ac:dyDescent="0.2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</row>
    <row r="358" spans="1:27" ht="14.25" customHeight="1" x14ac:dyDescent="0.2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</row>
    <row r="359" spans="1:27" ht="14.25" customHeight="1" x14ac:dyDescent="0.2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</row>
    <row r="360" spans="1:27" ht="14.25" customHeight="1" x14ac:dyDescent="0.2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</row>
    <row r="361" spans="1:27" ht="14.25" customHeight="1" x14ac:dyDescent="0.2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</row>
    <row r="362" spans="1:27" ht="14.25" customHeight="1" x14ac:dyDescent="0.2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</row>
    <row r="363" spans="1:27" ht="14.25" customHeight="1" x14ac:dyDescent="0.2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</row>
    <row r="364" spans="1:27" ht="14.25" customHeight="1" x14ac:dyDescent="0.2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</row>
    <row r="365" spans="1:27" ht="14.25" customHeight="1" x14ac:dyDescent="0.2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</row>
    <row r="366" spans="1:27" ht="14.25" customHeight="1" x14ac:dyDescent="0.2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</row>
    <row r="367" spans="1:27" ht="14.25" customHeight="1" x14ac:dyDescent="0.2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</row>
    <row r="368" spans="1:27" ht="14.25" customHeight="1" x14ac:dyDescent="0.2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</row>
    <row r="369" spans="1:27" ht="14.25" customHeight="1" x14ac:dyDescent="0.2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</row>
    <row r="370" spans="1:27" ht="14.25" customHeight="1" x14ac:dyDescent="0.2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</row>
    <row r="371" spans="1:27" ht="14.25" customHeight="1" x14ac:dyDescent="0.2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</row>
    <row r="372" spans="1:27" ht="14.25" customHeight="1" x14ac:dyDescent="0.2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</row>
    <row r="373" spans="1:27" ht="14.25" customHeight="1" x14ac:dyDescent="0.2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</row>
    <row r="374" spans="1:27" ht="14.25" customHeight="1" x14ac:dyDescent="0.2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</row>
    <row r="375" spans="1:27" ht="14.25" customHeight="1" x14ac:dyDescent="0.2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</row>
    <row r="376" spans="1:27" ht="14.25" customHeight="1" x14ac:dyDescent="0.2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</row>
    <row r="377" spans="1:27" ht="14.25" customHeight="1" x14ac:dyDescent="0.2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</row>
    <row r="378" spans="1:27" ht="14.25" customHeight="1" x14ac:dyDescent="0.2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</row>
    <row r="379" spans="1:27" ht="14.25" customHeight="1" x14ac:dyDescent="0.2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</row>
    <row r="380" spans="1:27" ht="14.25" customHeight="1" x14ac:dyDescent="0.2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</row>
    <row r="381" spans="1:27" ht="14.25" customHeight="1" x14ac:dyDescent="0.2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</row>
    <row r="382" spans="1:27" ht="14.25" customHeight="1" x14ac:dyDescent="0.2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</row>
    <row r="383" spans="1:27" ht="14.25" customHeight="1" x14ac:dyDescent="0.2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</row>
    <row r="384" spans="1:27" ht="14.25" customHeight="1" x14ac:dyDescent="0.2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</row>
    <row r="385" spans="1:27" ht="14.25" customHeight="1" x14ac:dyDescent="0.2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</row>
    <row r="386" spans="1:27" ht="14.25" customHeight="1" x14ac:dyDescent="0.2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</row>
    <row r="387" spans="1:27" ht="14.25" customHeight="1" x14ac:dyDescent="0.2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</row>
    <row r="388" spans="1:27" ht="14.25" customHeight="1" x14ac:dyDescent="0.2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</row>
    <row r="389" spans="1:27" ht="14.25" customHeight="1" x14ac:dyDescent="0.2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</row>
    <row r="390" spans="1:27" ht="14.25" customHeight="1" x14ac:dyDescent="0.2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</row>
    <row r="391" spans="1:27" ht="14.25" customHeight="1" x14ac:dyDescent="0.2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</row>
    <row r="392" spans="1:27" ht="14.25" customHeight="1" x14ac:dyDescent="0.2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</row>
    <row r="393" spans="1:27" ht="14.25" customHeight="1" x14ac:dyDescent="0.2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</row>
    <row r="394" spans="1:27" ht="14.25" customHeight="1" x14ac:dyDescent="0.2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</row>
    <row r="395" spans="1:27" ht="14.25" customHeight="1" x14ac:dyDescent="0.2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</row>
    <row r="396" spans="1:27" ht="14.25" customHeight="1" x14ac:dyDescent="0.2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</row>
    <row r="397" spans="1:27" ht="14.25" customHeight="1" x14ac:dyDescent="0.2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</row>
    <row r="398" spans="1:27" ht="14.25" customHeight="1" x14ac:dyDescent="0.2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</row>
    <row r="399" spans="1:27" ht="14.25" customHeight="1" x14ac:dyDescent="0.2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</row>
    <row r="400" spans="1:27" ht="14.25" customHeight="1" x14ac:dyDescent="0.2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</row>
    <row r="401" spans="1:27" ht="14.25" customHeight="1" x14ac:dyDescent="0.2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</row>
    <row r="402" spans="1:27" ht="14.25" customHeight="1" x14ac:dyDescent="0.2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</row>
    <row r="403" spans="1:27" ht="14.25" customHeight="1" x14ac:dyDescent="0.2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</row>
    <row r="404" spans="1:27" ht="14.25" customHeight="1" x14ac:dyDescent="0.2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</row>
    <row r="405" spans="1:27" ht="14.25" customHeight="1" x14ac:dyDescent="0.2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</row>
    <row r="406" spans="1:27" ht="14.25" customHeight="1" x14ac:dyDescent="0.2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</row>
    <row r="407" spans="1:27" ht="14.25" customHeight="1" x14ac:dyDescent="0.2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</row>
    <row r="408" spans="1:27" ht="14.25" customHeight="1" x14ac:dyDescent="0.2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</row>
    <row r="409" spans="1:27" ht="14.25" customHeight="1" x14ac:dyDescent="0.2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</row>
    <row r="410" spans="1:27" ht="14.25" customHeight="1" x14ac:dyDescent="0.2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</row>
    <row r="411" spans="1:27" ht="14.25" customHeight="1" x14ac:dyDescent="0.2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</row>
    <row r="412" spans="1:27" ht="14.25" customHeight="1" x14ac:dyDescent="0.2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</row>
    <row r="413" spans="1:27" ht="14.25" customHeight="1" x14ac:dyDescent="0.2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</row>
    <row r="414" spans="1:27" ht="14.25" customHeight="1" x14ac:dyDescent="0.2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</row>
    <row r="415" spans="1:27" ht="14.25" customHeight="1" x14ac:dyDescent="0.2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</row>
    <row r="416" spans="1:27" ht="14.25" customHeight="1" x14ac:dyDescent="0.2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</row>
    <row r="417" spans="1:27" ht="14.25" customHeight="1" x14ac:dyDescent="0.2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</row>
    <row r="418" spans="1:27" ht="14.25" customHeight="1" x14ac:dyDescent="0.2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</row>
    <row r="419" spans="1:27" ht="14.25" customHeight="1" x14ac:dyDescent="0.2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</row>
    <row r="420" spans="1:27" ht="14.25" customHeight="1" x14ac:dyDescent="0.2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</row>
    <row r="421" spans="1:27" ht="14.25" customHeight="1" x14ac:dyDescent="0.2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</row>
    <row r="422" spans="1:27" ht="14.25" customHeight="1" x14ac:dyDescent="0.2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</row>
    <row r="423" spans="1:27" ht="14.25" customHeight="1" x14ac:dyDescent="0.2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</row>
    <row r="424" spans="1:27" ht="14.25" customHeight="1" x14ac:dyDescent="0.2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</row>
    <row r="425" spans="1:27" ht="14.25" customHeight="1" x14ac:dyDescent="0.2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</row>
    <row r="426" spans="1:27" ht="14.25" customHeight="1" x14ac:dyDescent="0.2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</row>
    <row r="427" spans="1:27" ht="14.25" customHeight="1" x14ac:dyDescent="0.2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</row>
    <row r="428" spans="1:27" ht="14.25" customHeight="1" x14ac:dyDescent="0.2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</row>
    <row r="429" spans="1:27" ht="14.25" customHeight="1" x14ac:dyDescent="0.2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</row>
    <row r="430" spans="1:27" ht="14.25" customHeight="1" x14ac:dyDescent="0.2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</row>
    <row r="431" spans="1:27" ht="14.25" customHeight="1" x14ac:dyDescent="0.2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</row>
    <row r="432" spans="1:27" ht="14.25" customHeight="1" x14ac:dyDescent="0.2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</row>
    <row r="433" spans="1:27" ht="14.25" customHeight="1" x14ac:dyDescent="0.2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</row>
    <row r="434" spans="1:27" ht="14.25" customHeight="1" x14ac:dyDescent="0.2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</row>
    <row r="435" spans="1:27" ht="14.25" customHeight="1" x14ac:dyDescent="0.2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</row>
    <row r="436" spans="1:27" ht="14.25" customHeight="1" x14ac:dyDescent="0.2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</row>
    <row r="437" spans="1:27" ht="14.25" customHeight="1" x14ac:dyDescent="0.2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</row>
    <row r="438" spans="1:27" ht="14.25" customHeight="1" x14ac:dyDescent="0.2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</row>
    <row r="439" spans="1:27" ht="14.25" customHeight="1" x14ac:dyDescent="0.2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</row>
    <row r="440" spans="1:27" ht="14.25" customHeight="1" x14ac:dyDescent="0.2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</row>
    <row r="441" spans="1:27" ht="14.25" customHeight="1" x14ac:dyDescent="0.2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</row>
    <row r="442" spans="1:27" ht="14.25" customHeight="1" x14ac:dyDescent="0.2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</row>
    <row r="443" spans="1:27" ht="14.25" customHeight="1" x14ac:dyDescent="0.2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</row>
    <row r="444" spans="1:27" ht="14.25" customHeight="1" x14ac:dyDescent="0.2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</row>
    <row r="445" spans="1:27" ht="14.25" customHeight="1" x14ac:dyDescent="0.2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</row>
    <row r="446" spans="1:27" ht="14.25" customHeight="1" x14ac:dyDescent="0.2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</row>
    <row r="447" spans="1:27" ht="14.25" customHeight="1" x14ac:dyDescent="0.2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</row>
    <row r="448" spans="1:27" ht="14.25" customHeight="1" x14ac:dyDescent="0.2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</row>
    <row r="449" spans="1:27" ht="14.25" customHeight="1" x14ac:dyDescent="0.2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</row>
    <row r="450" spans="1:27" ht="14.25" customHeight="1" x14ac:dyDescent="0.2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</row>
    <row r="451" spans="1:27" ht="14.25" customHeight="1" x14ac:dyDescent="0.2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</row>
    <row r="452" spans="1:27" ht="14.25" customHeight="1" x14ac:dyDescent="0.2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</row>
    <row r="453" spans="1:27" ht="14.25" customHeight="1" x14ac:dyDescent="0.2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</row>
    <row r="454" spans="1:27" ht="14.25" customHeight="1" x14ac:dyDescent="0.2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</row>
    <row r="455" spans="1:27" ht="14.25" customHeight="1" x14ac:dyDescent="0.2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</row>
    <row r="456" spans="1:27" ht="14.25" customHeight="1" x14ac:dyDescent="0.2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</row>
    <row r="457" spans="1:27" ht="14.25" customHeight="1" x14ac:dyDescent="0.2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</row>
    <row r="458" spans="1:27" ht="14.25" customHeight="1" x14ac:dyDescent="0.2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</row>
    <row r="459" spans="1:27" ht="14.25" customHeight="1" x14ac:dyDescent="0.2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</row>
    <row r="460" spans="1:27" ht="14.25" customHeight="1" x14ac:dyDescent="0.2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</row>
    <row r="461" spans="1:27" ht="14.25" customHeight="1" x14ac:dyDescent="0.2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</row>
    <row r="462" spans="1:27" ht="14.25" customHeight="1" x14ac:dyDescent="0.2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</row>
    <row r="463" spans="1:27" ht="14.25" customHeight="1" x14ac:dyDescent="0.2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</row>
    <row r="464" spans="1:27" ht="14.25" customHeight="1" x14ac:dyDescent="0.2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</row>
    <row r="465" spans="1:27" ht="14.25" customHeight="1" x14ac:dyDescent="0.2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</row>
    <row r="466" spans="1:27" ht="14.25" customHeight="1" x14ac:dyDescent="0.2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</row>
    <row r="467" spans="1:27" ht="14.25" customHeight="1" x14ac:dyDescent="0.2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</row>
    <row r="468" spans="1:27" ht="14.25" customHeight="1" x14ac:dyDescent="0.2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</row>
    <row r="469" spans="1:27" ht="14.25" customHeight="1" x14ac:dyDescent="0.2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</row>
    <row r="470" spans="1:27" ht="14.25" customHeight="1" x14ac:dyDescent="0.2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</row>
    <row r="471" spans="1:27" ht="14.25" customHeight="1" x14ac:dyDescent="0.2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</row>
    <row r="472" spans="1:27" ht="14.25" customHeight="1" x14ac:dyDescent="0.2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</row>
    <row r="473" spans="1:27" ht="14.25" customHeight="1" x14ac:dyDescent="0.2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</row>
    <row r="474" spans="1:27" ht="14.25" customHeight="1" x14ac:dyDescent="0.2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</row>
    <row r="475" spans="1:27" ht="14.25" customHeight="1" x14ac:dyDescent="0.2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</row>
    <row r="476" spans="1:27" ht="14.25" customHeight="1" x14ac:dyDescent="0.2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</row>
    <row r="477" spans="1:27" ht="14.25" customHeight="1" x14ac:dyDescent="0.2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</row>
    <row r="478" spans="1:27" ht="14.25" customHeight="1" x14ac:dyDescent="0.2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</row>
    <row r="479" spans="1:27" ht="14.25" customHeight="1" x14ac:dyDescent="0.2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</row>
    <row r="480" spans="1:27" ht="14.25" customHeight="1" x14ac:dyDescent="0.2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</row>
    <row r="481" spans="1:27" ht="14.25" customHeight="1" x14ac:dyDescent="0.2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</row>
    <row r="482" spans="1:27" ht="14.25" customHeight="1" x14ac:dyDescent="0.2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</row>
    <row r="483" spans="1:27" ht="14.25" customHeight="1" x14ac:dyDescent="0.2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</row>
    <row r="484" spans="1:27" ht="14.25" customHeight="1" x14ac:dyDescent="0.2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</row>
    <row r="485" spans="1:27" ht="14.25" customHeight="1" x14ac:dyDescent="0.2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</row>
    <row r="486" spans="1:27" ht="14.25" customHeight="1" x14ac:dyDescent="0.2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</row>
    <row r="487" spans="1:27" ht="14.25" customHeight="1" x14ac:dyDescent="0.2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</row>
    <row r="488" spans="1:27" ht="14.25" customHeight="1" x14ac:dyDescent="0.2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</row>
    <row r="489" spans="1:27" ht="14.25" customHeight="1" x14ac:dyDescent="0.2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</row>
    <row r="490" spans="1:27" ht="14.25" customHeight="1" x14ac:dyDescent="0.2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</row>
    <row r="491" spans="1:27" ht="14.25" customHeight="1" x14ac:dyDescent="0.2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</row>
    <row r="492" spans="1:27" ht="14.25" customHeight="1" x14ac:dyDescent="0.2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</row>
    <row r="493" spans="1:27" ht="14.25" customHeight="1" x14ac:dyDescent="0.2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</row>
    <row r="494" spans="1:27" ht="14.25" customHeight="1" x14ac:dyDescent="0.2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</row>
    <row r="495" spans="1:27" ht="14.25" customHeight="1" x14ac:dyDescent="0.2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</row>
    <row r="496" spans="1:27" ht="14.25" customHeight="1" x14ac:dyDescent="0.2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</row>
    <row r="497" spans="1:27" ht="14.25" customHeight="1" x14ac:dyDescent="0.2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</row>
    <row r="498" spans="1:27" ht="14.25" customHeight="1" x14ac:dyDescent="0.2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</row>
    <row r="499" spans="1:27" ht="14.25" customHeight="1" x14ac:dyDescent="0.2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</row>
    <row r="500" spans="1:27" ht="14.25" customHeight="1" x14ac:dyDescent="0.2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</row>
    <row r="501" spans="1:27" ht="14.25" customHeight="1" x14ac:dyDescent="0.2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</row>
    <row r="502" spans="1:27" ht="14.25" customHeight="1" x14ac:dyDescent="0.2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</row>
    <row r="503" spans="1:27" ht="14.25" customHeight="1" x14ac:dyDescent="0.2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</row>
    <row r="504" spans="1:27" ht="14.25" customHeight="1" x14ac:dyDescent="0.2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</row>
    <row r="505" spans="1:27" ht="14.25" customHeight="1" x14ac:dyDescent="0.2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</row>
    <row r="506" spans="1:27" ht="14.25" customHeight="1" x14ac:dyDescent="0.2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</row>
    <row r="507" spans="1:27" ht="14.25" customHeight="1" x14ac:dyDescent="0.2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</row>
    <row r="508" spans="1:27" ht="14.25" customHeight="1" x14ac:dyDescent="0.2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</row>
    <row r="509" spans="1:27" ht="14.25" customHeight="1" x14ac:dyDescent="0.2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</row>
    <row r="510" spans="1:27" ht="14.25" customHeight="1" x14ac:dyDescent="0.2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</row>
    <row r="511" spans="1:27" ht="14.25" customHeight="1" x14ac:dyDescent="0.2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</row>
    <row r="512" spans="1:27" ht="14.25" customHeight="1" x14ac:dyDescent="0.2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</row>
    <row r="513" spans="1:27" ht="14.25" customHeight="1" x14ac:dyDescent="0.2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</row>
    <row r="514" spans="1:27" ht="14.25" customHeight="1" x14ac:dyDescent="0.2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</row>
    <row r="515" spans="1:27" ht="14.25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</row>
    <row r="516" spans="1:27" ht="14.25" customHeight="1" x14ac:dyDescent="0.2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</row>
    <row r="517" spans="1:27" ht="14.25" customHeight="1" x14ac:dyDescent="0.2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</row>
    <row r="518" spans="1:27" ht="14.25" customHeight="1" x14ac:dyDescent="0.2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</row>
    <row r="519" spans="1:27" ht="14.25" customHeight="1" x14ac:dyDescent="0.2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</row>
    <row r="520" spans="1:27" ht="14.25" customHeight="1" x14ac:dyDescent="0.2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</row>
    <row r="521" spans="1:27" ht="14.25" customHeight="1" x14ac:dyDescent="0.2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</row>
    <row r="522" spans="1:27" ht="14.25" customHeight="1" x14ac:dyDescent="0.2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</row>
    <row r="523" spans="1:27" ht="14.25" customHeight="1" x14ac:dyDescent="0.2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</row>
    <row r="524" spans="1:27" ht="14.25" customHeight="1" x14ac:dyDescent="0.2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</row>
    <row r="525" spans="1:27" ht="14.25" customHeight="1" x14ac:dyDescent="0.2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</row>
    <row r="526" spans="1:27" ht="14.25" customHeight="1" x14ac:dyDescent="0.2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</row>
    <row r="527" spans="1:27" ht="14.25" customHeight="1" x14ac:dyDescent="0.2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</row>
    <row r="528" spans="1:27" ht="14.25" customHeight="1" x14ac:dyDescent="0.2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</row>
    <row r="529" spans="1:27" ht="14.25" customHeight="1" x14ac:dyDescent="0.2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</row>
    <row r="530" spans="1:27" ht="14.25" customHeight="1" x14ac:dyDescent="0.2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</row>
    <row r="531" spans="1:27" ht="14.25" customHeight="1" x14ac:dyDescent="0.2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</row>
    <row r="532" spans="1:27" ht="14.25" customHeight="1" x14ac:dyDescent="0.2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</row>
    <row r="533" spans="1:27" ht="14.25" customHeight="1" x14ac:dyDescent="0.2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</row>
    <row r="534" spans="1:27" ht="14.25" customHeight="1" x14ac:dyDescent="0.2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</row>
    <row r="535" spans="1:27" ht="14.25" customHeight="1" x14ac:dyDescent="0.2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</row>
    <row r="536" spans="1:27" ht="14.25" customHeight="1" x14ac:dyDescent="0.2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</row>
    <row r="537" spans="1:27" ht="14.25" customHeight="1" x14ac:dyDescent="0.2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</row>
    <row r="538" spans="1:27" ht="14.25" customHeight="1" x14ac:dyDescent="0.2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</row>
    <row r="539" spans="1:27" ht="14.25" customHeight="1" x14ac:dyDescent="0.2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</row>
    <row r="540" spans="1:27" ht="14.25" customHeight="1" x14ac:dyDescent="0.2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</row>
    <row r="541" spans="1:27" ht="14.25" customHeight="1" x14ac:dyDescent="0.2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</row>
    <row r="542" spans="1:27" ht="14.25" customHeight="1" x14ac:dyDescent="0.2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</row>
    <row r="543" spans="1:27" ht="14.25" customHeight="1" x14ac:dyDescent="0.2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</row>
    <row r="544" spans="1:27" ht="14.25" customHeight="1" x14ac:dyDescent="0.2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</row>
    <row r="545" spans="1:27" ht="14.25" customHeight="1" x14ac:dyDescent="0.2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</row>
    <row r="546" spans="1:27" ht="14.25" customHeight="1" x14ac:dyDescent="0.2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</row>
    <row r="547" spans="1:27" ht="14.25" customHeight="1" x14ac:dyDescent="0.2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</row>
    <row r="548" spans="1:27" ht="14.25" customHeight="1" x14ac:dyDescent="0.2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</row>
    <row r="549" spans="1:27" ht="14.25" customHeight="1" x14ac:dyDescent="0.2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</row>
    <row r="550" spans="1:27" ht="14.25" customHeight="1" x14ac:dyDescent="0.2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</row>
    <row r="551" spans="1:27" ht="14.25" customHeight="1" x14ac:dyDescent="0.2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</row>
    <row r="552" spans="1:27" ht="14.25" customHeight="1" x14ac:dyDescent="0.2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</row>
    <row r="553" spans="1:27" ht="14.25" customHeight="1" x14ac:dyDescent="0.2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</row>
    <row r="554" spans="1:27" ht="14.25" customHeight="1" x14ac:dyDescent="0.2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</row>
    <row r="555" spans="1:27" ht="14.25" customHeight="1" x14ac:dyDescent="0.2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</row>
    <row r="556" spans="1:27" ht="14.25" customHeight="1" x14ac:dyDescent="0.2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</row>
    <row r="557" spans="1:27" ht="14.25" customHeight="1" x14ac:dyDescent="0.2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</row>
    <row r="558" spans="1:27" ht="14.25" customHeight="1" x14ac:dyDescent="0.2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</row>
    <row r="559" spans="1:27" ht="14.25" customHeight="1" x14ac:dyDescent="0.2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</row>
    <row r="560" spans="1:27" ht="14.25" customHeight="1" x14ac:dyDescent="0.2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</row>
    <row r="561" spans="1:27" ht="14.25" customHeight="1" x14ac:dyDescent="0.2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</row>
    <row r="562" spans="1:27" ht="14.25" customHeight="1" x14ac:dyDescent="0.2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</row>
    <row r="563" spans="1:27" ht="14.25" customHeight="1" x14ac:dyDescent="0.2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</row>
    <row r="564" spans="1:27" ht="14.25" customHeight="1" x14ac:dyDescent="0.2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</row>
    <row r="565" spans="1:27" ht="14.25" customHeight="1" x14ac:dyDescent="0.2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</row>
    <row r="566" spans="1:27" ht="14.25" customHeight="1" x14ac:dyDescent="0.2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</row>
    <row r="567" spans="1:27" ht="14.25" customHeight="1" x14ac:dyDescent="0.2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</row>
    <row r="568" spans="1:27" ht="14.25" customHeight="1" x14ac:dyDescent="0.2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</row>
    <row r="569" spans="1:27" ht="14.25" customHeight="1" x14ac:dyDescent="0.2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</row>
    <row r="570" spans="1:27" ht="14.25" customHeight="1" x14ac:dyDescent="0.2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</row>
    <row r="571" spans="1:27" ht="14.25" customHeight="1" x14ac:dyDescent="0.2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</row>
    <row r="572" spans="1:27" ht="14.25" customHeight="1" x14ac:dyDescent="0.2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</row>
    <row r="573" spans="1:27" ht="14.25" customHeight="1" x14ac:dyDescent="0.2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</row>
    <row r="574" spans="1:27" ht="14.25" customHeight="1" x14ac:dyDescent="0.2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</row>
    <row r="575" spans="1:27" ht="14.25" customHeight="1" x14ac:dyDescent="0.2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</row>
    <row r="576" spans="1:27" ht="14.25" customHeight="1" x14ac:dyDescent="0.2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</row>
    <row r="577" spans="1:27" ht="14.25" customHeight="1" x14ac:dyDescent="0.2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</row>
    <row r="578" spans="1:27" ht="14.25" customHeight="1" x14ac:dyDescent="0.2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</row>
    <row r="579" spans="1:27" ht="14.25" customHeight="1" x14ac:dyDescent="0.2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</row>
    <row r="580" spans="1:27" ht="14.25" customHeight="1" x14ac:dyDescent="0.2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</row>
    <row r="581" spans="1:27" ht="14.25" customHeight="1" x14ac:dyDescent="0.2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</row>
    <row r="582" spans="1:27" ht="14.25" customHeight="1" x14ac:dyDescent="0.2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</row>
    <row r="583" spans="1:27" ht="14.25" customHeight="1" x14ac:dyDescent="0.2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</row>
    <row r="584" spans="1:27" ht="14.25" customHeight="1" x14ac:dyDescent="0.2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</row>
    <row r="585" spans="1:27" ht="14.25" customHeight="1" x14ac:dyDescent="0.2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</row>
    <row r="586" spans="1:27" ht="14.25" customHeight="1" x14ac:dyDescent="0.2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</row>
    <row r="587" spans="1:27" ht="14.25" customHeight="1" x14ac:dyDescent="0.2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</row>
    <row r="588" spans="1:27" ht="14.25" customHeight="1" x14ac:dyDescent="0.2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</row>
    <row r="589" spans="1:27" ht="14.25" customHeight="1" x14ac:dyDescent="0.2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</row>
    <row r="590" spans="1:27" ht="14.25" customHeight="1" x14ac:dyDescent="0.2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</row>
    <row r="591" spans="1:27" ht="14.25" customHeight="1" x14ac:dyDescent="0.2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</row>
    <row r="592" spans="1:27" ht="14.25" customHeight="1" x14ac:dyDescent="0.2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</row>
    <row r="593" spans="1:27" ht="14.25" customHeight="1" x14ac:dyDescent="0.2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</row>
    <row r="594" spans="1:27" ht="14.25" customHeight="1" x14ac:dyDescent="0.2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</row>
    <row r="595" spans="1:27" ht="14.25" customHeight="1" x14ac:dyDescent="0.2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</row>
    <row r="596" spans="1:27" ht="14.25" customHeight="1" x14ac:dyDescent="0.2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</row>
    <row r="597" spans="1:27" ht="14.25" customHeight="1" x14ac:dyDescent="0.2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</row>
    <row r="598" spans="1:27" ht="14.25" customHeight="1" x14ac:dyDescent="0.2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</row>
    <row r="599" spans="1:27" ht="14.25" customHeight="1" x14ac:dyDescent="0.2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</row>
    <row r="600" spans="1:27" ht="14.25" customHeight="1" x14ac:dyDescent="0.2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</row>
    <row r="601" spans="1:27" ht="14.25" customHeight="1" x14ac:dyDescent="0.2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</row>
    <row r="602" spans="1:27" ht="14.25" customHeight="1" x14ac:dyDescent="0.2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</row>
    <row r="603" spans="1:27" ht="14.25" customHeight="1" x14ac:dyDescent="0.2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</row>
    <row r="604" spans="1:27" ht="14.25" customHeight="1" x14ac:dyDescent="0.2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</row>
    <row r="605" spans="1:27" ht="14.25" customHeight="1" x14ac:dyDescent="0.2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</row>
    <row r="606" spans="1:27" ht="14.25" customHeight="1" x14ac:dyDescent="0.2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</row>
    <row r="607" spans="1:27" ht="14.25" customHeight="1" x14ac:dyDescent="0.2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</row>
    <row r="608" spans="1:27" ht="14.25" customHeight="1" x14ac:dyDescent="0.2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</row>
    <row r="609" spans="1:27" ht="14.25" customHeight="1" x14ac:dyDescent="0.2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</row>
    <row r="610" spans="1:27" ht="14.25" customHeight="1" x14ac:dyDescent="0.2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</row>
    <row r="611" spans="1:27" ht="14.25" customHeight="1" x14ac:dyDescent="0.2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</row>
    <row r="612" spans="1:27" ht="14.25" customHeight="1" x14ac:dyDescent="0.2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</row>
    <row r="613" spans="1:27" ht="14.25" customHeight="1" x14ac:dyDescent="0.2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</row>
    <row r="614" spans="1:27" ht="14.25" customHeight="1" x14ac:dyDescent="0.2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</row>
    <row r="615" spans="1:27" ht="14.25" customHeight="1" x14ac:dyDescent="0.2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</row>
    <row r="616" spans="1:27" ht="14.25" customHeight="1" x14ac:dyDescent="0.2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</row>
    <row r="617" spans="1:27" ht="14.25" customHeight="1" x14ac:dyDescent="0.2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</row>
    <row r="618" spans="1:27" ht="14.25" customHeight="1" x14ac:dyDescent="0.2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</row>
    <row r="619" spans="1:27" ht="14.25" customHeight="1" x14ac:dyDescent="0.2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</row>
    <row r="620" spans="1:27" ht="14.25" customHeight="1" x14ac:dyDescent="0.2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</row>
    <row r="621" spans="1:27" ht="14.25" customHeight="1" x14ac:dyDescent="0.2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</row>
    <row r="622" spans="1:27" ht="14.25" customHeight="1" x14ac:dyDescent="0.2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</row>
    <row r="623" spans="1:27" ht="14.25" customHeight="1" x14ac:dyDescent="0.2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</row>
    <row r="624" spans="1:27" ht="14.25" customHeight="1" x14ac:dyDescent="0.2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</row>
    <row r="625" spans="1:27" ht="14.25" customHeight="1" x14ac:dyDescent="0.2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</row>
    <row r="626" spans="1:27" ht="14.25" customHeight="1" x14ac:dyDescent="0.2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</row>
    <row r="627" spans="1:27" ht="14.25" customHeight="1" x14ac:dyDescent="0.2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</row>
    <row r="628" spans="1:27" ht="14.25" customHeight="1" x14ac:dyDescent="0.2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</row>
    <row r="629" spans="1:27" ht="14.25" customHeight="1" x14ac:dyDescent="0.2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</row>
    <row r="630" spans="1:27" ht="14.25" customHeight="1" x14ac:dyDescent="0.2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</row>
    <row r="631" spans="1:27" ht="14.25" customHeight="1" x14ac:dyDescent="0.2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</row>
    <row r="632" spans="1:27" ht="14.25" customHeight="1" x14ac:dyDescent="0.2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</row>
    <row r="633" spans="1:27" ht="14.25" customHeight="1" x14ac:dyDescent="0.2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</row>
    <row r="634" spans="1:27" ht="14.25" customHeight="1" x14ac:dyDescent="0.2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</row>
    <row r="635" spans="1:27" ht="14.25" customHeight="1" x14ac:dyDescent="0.2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</row>
    <row r="636" spans="1:27" ht="14.25" customHeight="1" x14ac:dyDescent="0.2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</row>
    <row r="637" spans="1:27" ht="14.25" customHeight="1" x14ac:dyDescent="0.2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</row>
    <row r="638" spans="1:27" ht="14.25" customHeight="1" x14ac:dyDescent="0.2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</row>
    <row r="639" spans="1:27" ht="14.25" customHeight="1" x14ac:dyDescent="0.2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</row>
    <row r="640" spans="1:27" ht="14.25" customHeight="1" x14ac:dyDescent="0.2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</row>
    <row r="641" spans="1:27" ht="14.25" customHeight="1" x14ac:dyDescent="0.2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</row>
    <row r="642" spans="1:27" ht="14.25" customHeight="1" x14ac:dyDescent="0.2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</row>
    <row r="643" spans="1:27" ht="14.25" customHeight="1" x14ac:dyDescent="0.2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</row>
    <row r="644" spans="1:27" ht="14.25" customHeight="1" x14ac:dyDescent="0.2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</row>
    <row r="645" spans="1:27" ht="14.25" customHeight="1" x14ac:dyDescent="0.2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</row>
    <row r="646" spans="1:27" ht="14.25" customHeight="1" x14ac:dyDescent="0.2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</row>
    <row r="647" spans="1:27" ht="14.25" customHeight="1" x14ac:dyDescent="0.2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</row>
    <row r="648" spans="1:27" ht="14.25" customHeight="1" x14ac:dyDescent="0.2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</row>
    <row r="649" spans="1:27" ht="14.25" customHeight="1" x14ac:dyDescent="0.2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</row>
    <row r="650" spans="1:27" ht="14.25" customHeight="1" x14ac:dyDescent="0.2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</row>
    <row r="651" spans="1:27" ht="14.25" customHeight="1" x14ac:dyDescent="0.2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</row>
    <row r="652" spans="1:27" ht="14.25" customHeight="1" x14ac:dyDescent="0.2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</row>
    <row r="653" spans="1:27" ht="14.25" customHeight="1" x14ac:dyDescent="0.2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</row>
    <row r="654" spans="1:27" ht="14.25" customHeight="1" x14ac:dyDescent="0.2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</row>
    <row r="655" spans="1:27" ht="14.25" customHeight="1" x14ac:dyDescent="0.2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</row>
    <row r="656" spans="1:27" ht="14.25" customHeight="1" x14ac:dyDescent="0.2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</row>
    <row r="657" spans="1:27" ht="14.25" customHeight="1" x14ac:dyDescent="0.2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</row>
    <row r="658" spans="1:27" ht="14.25" customHeight="1" x14ac:dyDescent="0.2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</row>
    <row r="659" spans="1:27" ht="14.25" customHeight="1" x14ac:dyDescent="0.2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</row>
    <row r="660" spans="1:27" ht="14.25" customHeight="1" x14ac:dyDescent="0.2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</row>
    <row r="661" spans="1:27" ht="14.25" customHeight="1" x14ac:dyDescent="0.2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</row>
    <row r="662" spans="1:27" ht="14.25" customHeight="1" x14ac:dyDescent="0.2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</row>
    <row r="663" spans="1:27" ht="14.25" customHeight="1" x14ac:dyDescent="0.2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</row>
    <row r="664" spans="1:27" ht="14.25" customHeight="1" x14ac:dyDescent="0.2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</row>
    <row r="665" spans="1:27" ht="14.25" customHeight="1" x14ac:dyDescent="0.2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</row>
    <row r="666" spans="1:27" ht="14.25" customHeight="1" x14ac:dyDescent="0.2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</row>
    <row r="667" spans="1:27" ht="14.25" customHeight="1" x14ac:dyDescent="0.2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</row>
    <row r="668" spans="1:27" ht="14.25" customHeight="1" x14ac:dyDescent="0.2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</row>
    <row r="669" spans="1:27" ht="14.25" customHeight="1" x14ac:dyDescent="0.2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</row>
    <row r="670" spans="1:27" ht="14.25" customHeight="1" x14ac:dyDescent="0.2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</row>
    <row r="671" spans="1:27" ht="14.25" customHeight="1" x14ac:dyDescent="0.2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</row>
    <row r="672" spans="1:27" ht="14.25" customHeight="1" x14ac:dyDescent="0.2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</row>
    <row r="673" spans="1:27" ht="14.25" customHeight="1" x14ac:dyDescent="0.2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</row>
    <row r="674" spans="1:27" ht="14.25" customHeight="1" x14ac:dyDescent="0.2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</row>
    <row r="675" spans="1:27" ht="14.25" customHeight="1" x14ac:dyDescent="0.2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</row>
    <row r="676" spans="1:27" ht="14.25" customHeight="1" x14ac:dyDescent="0.2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</row>
    <row r="677" spans="1:27" ht="14.25" customHeight="1" x14ac:dyDescent="0.2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</row>
    <row r="678" spans="1:27" ht="14.25" customHeight="1" x14ac:dyDescent="0.2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</row>
    <row r="679" spans="1:27" ht="14.25" customHeight="1" x14ac:dyDescent="0.2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</row>
    <row r="680" spans="1:27" ht="14.25" customHeight="1" x14ac:dyDescent="0.2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</row>
    <row r="681" spans="1:27" ht="14.25" customHeight="1" x14ac:dyDescent="0.2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</row>
    <row r="682" spans="1:27" ht="14.25" customHeight="1" x14ac:dyDescent="0.2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</row>
    <row r="683" spans="1:27" ht="14.25" customHeight="1" x14ac:dyDescent="0.2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</row>
    <row r="684" spans="1:27" ht="14.25" customHeight="1" x14ac:dyDescent="0.2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</row>
    <row r="685" spans="1:27" ht="14.25" customHeight="1" x14ac:dyDescent="0.2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</row>
    <row r="686" spans="1:27" ht="14.25" customHeight="1" x14ac:dyDescent="0.2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</row>
    <row r="687" spans="1:27" ht="14.25" customHeight="1" x14ac:dyDescent="0.2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</row>
    <row r="688" spans="1:27" ht="14.25" customHeight="1" x14ac:dyDescent="0.2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</row>
    <row r="689" spans="1:27" ht="14.25" customHeight="1" x14ac:dyDescent="0.2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</row>
    <row r="690" spans="1:27" ht="14.25" customHeight="1" x14ac:dyDescent="0.2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</row>
    <row r="691" spans="1:27" ht="14.25" customHeight="1" x14ac:dyDescent="0.2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</row>
    <row r="692" spans="1:27" ht="14.25" customHeight="1" x14ac:dyDescent="0.2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</row>
    <row r="693" spans="1:27" ht="14.25" customHeight="1" x14ac:dyDescent="0.2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</row>
    <row r="694" spans="1:27" ht="14.25" customHeight="1" x14ac:dyDescent="0.2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</row>
    <row r="695" spans="1:27" ht="14.25" customHeight="1" x14ac:dyDescent="0.2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</row>
    <row r="696" spans="1:27" ht="14.25" customHeight="1" x14ac:dyDescent="0.2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</row>
    <row r="697" spans="1:27" ht="14.25" customHeight="1" x14ac:dyDescent="0.2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</row>
    <row r="698" spans="1:27" ht="14.25" customHeight="1" x14ac:dyDescent="0.2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</row>
    <row r="699" spans="1:27" ht="14.25" customHeight="1" x14ac:dyDescent="0.2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</row>
    <row r="700" spans="1:27" ht="14.25" customHeight="1" x14ac:dyDescent="0.2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</row>
    <row r="701" spans="1:27" ht="14.25" customHeight="1" x14ac:dyDescent="0.2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</row>
    <row r="702" spans="1:27" ht="14.25" customHeight="1" x14ac:dyDescent="0.2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</row>
    <row r="703" spans="1:27" ht="14.25" customHeight="1" x14ac:dyDescent="0.2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</row>
    <row r="704" spans="1:27" ht="14.25" customHeight="1" x14ac:dyDescent="0.2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</row>
    <row r="705" spans="1:27" ht="14.25" customHeight="1" x14ac:dyDescent="0.2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</row>
    <row r="706" spans="1:27" ht="14.25" customHeight="1" x14ac:dyDescent="0.2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</row>
    <row r="707" spans="1:27" ht="14.25" customHeight="1" x14ac:dyDescent="0.2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</row>
    <row r="708" spans="1:27" ht="14.25" customHeight="1" x14ac:dyDescent="0.2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</row>
    <row r="709" spans="1:27" ht="14.25" customHeight="1" x14ac:dyDescent="0.2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</row>
    <row r="710" spans="1:27" ht="14.25" customHeight="1" x14ac:dyDescent="0.2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</row>
    <row r="711" spans="1:27" ht="14.25" customHeight="1" x14ac:dyDescent="0.2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</row>
    <row r="712" spans="1:27" ht="14.25" customHeight="1" x14ac:dyDescent="0.2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</row>
    <row r="713" spans="1:27" ht="14.25" customHeight="1" x14ac:dyDescent="0.2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</row>
    <row r="714" spans="1:27" ht="14.25" customHeight="1" x14ac:dyDescent="0.2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</row>
    <row r="715" spans="1:27" ht="14.25" customHeight="1" x14ac:dyDescent="0.2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</row>
    <row r="716" spans="1:27" ht="14.25" customHeight="1" x14ac:dyDescent="0.2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</row>
    <row r="717" spans="1:27" ht="14.25" customHeight="1" x14ac:dyDescent="0.2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</row>
    <row r="718" spans="1:27" ht="14.25" customHeight="1" x14ac:dyDescent="0.2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</row>
    <row r="719" spans="1:27" ht="14.25" customHeight="1" x14ac:dyDescent="0.2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</row>
    <row r="720" spans="1:27" ht="14.25" customHeight="1" x14ac:dyDescent="0.2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</row>
    <row r="721" spans="1:27" ht="14.25" customHeight="1" x14ac:dyDescent="0.2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</row>
    <row r="722" spans="1:27" ht="14.25" customHeight="1" x14ac:dyDescent="0.2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</row>
    <row r="723" spans="1:27" ht="14.25" customHeight="1" x14ac:dyDescent="0.2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</row>
    <row r="724" spans="1:27" ht="14.25" customHeight="1" x14ac:dyDescent="0.2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</row>
    <row r="725" spans="1:27" ht="14.25" customHeight="1" x14ac:dyDescent="0.2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</row>
    <row r="726" spans="1:27" ht="14.25" customHeight="1" x14ac:dyDescent="0.2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</row>
    <row r="727" spans="1:27" ht="14.25" customHeight="1" x14ac:dyDescent="0.2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</row>
    <row r="728" spans="1:27" ht="14.25" customHeight="1" x14ac:dyDescent="0.2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</row>
    <row r="729" spans="1:27" ht="14.25" customHeight="1" x14ac:dyDescent="0.2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</row>
    <row r="730" spans="1:27" ht="14.25" customHeight="1" x14ac:dyDescent="0.2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</row>
    <row r="731" spans="1:27" ht="14.25" customHeight="1" x14ac:dyDescent="0.2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</row>
    <row r="732" spans="1:27" ht="14.25" customHeight="1" x14ac:dyDescent="0.2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</row>
    <row r="733" spans="1:27" ht="14.25" customHeight="1" x14ac:dyDescent="0.2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</row>
    <row r="734" spans="1:27" ht="14.25" customHeight="1" x14ac:dyDescent="0.2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</row>
    <row r="735" spans="1:27" ht="14.25" customHeight="1" x14ac:dyDescent="0.2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</row>
    <row r="736" spans="1:27" ht="14.25" customHeight="1" x14ac:dyDescent="0.2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</row>
    <row r="737" spans="1:27" ht="14.25" customHeight="1" x14ac:dyDescent="0.2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</row>
    <row r="738" spans="1:27" ht="14.25" customHeight="1" x14ac:dyDescent="0.2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</row>
    <row r="739" spans="1:27" ht="14.25" customHeight="1" x14ac:dyDescent="0.2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</row>
    <row r="740" spans="1:27" ht="14.25" customHeight="1" x14ac:dyDescent="0.2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</row>
    <row r="741" spans="1:27" ht="14.25" customHeight="1" x14ac:dyDescent="0.2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</row>
    <row r="742" spans="1:27" ht="14.25" customHeight="1" x14ac:dyDescent="0.2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</row>
    <row r="743" spans="1:27" ht="14.25" customHeight="1" x14ac:dyDescent="0.2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</row>
    <row r="744" spans="1:27" ht="14.25" customHeight="1" x14ac:dyDescent="0.2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</row>
    <row r="745" spans="1:27" ht="14.25" customHeight="1" x14ac:dyDescent="0.2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</row>
    <row r="746" spans="1:27" ht="14.25" customHeight="1" x14ac:dyDescent="0.2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</row>
    <row r="747" spans="1:27" ht="14.25" customHeight="1" x14ac:dyDescent="0.2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</row>
    <row r="748" spans="1:27" ht="14.25" customHeight="1" x14ac:dyDescent="0.2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</row>
    <row r="749" spans="1:27" ht="14.25" customHeight="1" x14ac:dyDescent="0.2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</row>
    <row r="750" spans="1:27" ht="14.25" customHeight="1" x14ac:dyDescent="0.2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</row>
    <row r="751" spans="1:27" ht="14.25" customHeight="1" x14ac:dyDescent="0.2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</row>
    <row r="752" spans="1:27" ht="14.25" customHeight="1" x14ac:dyDescent="0.2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</row>
    <row r="753" spans="1:27" ht="14.25" customHeight="1" x14ac:dyDescent="0.2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</row>
    <row r="754" spans="1:27" ht="14.25" customHeight="1" x14ac:dyDescent="0.2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</row>
    <row r="755" spans="1:27" ht="14.25" customHeight="1" x14ac:dyDescent="0.2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</row>
    <row r="756" spans="1:27" ht="14.25" customHeight="1" x14ac:dyDescent="0.2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</row>
    <row r="757" spans="1:27" ht="14.25" customHeight="1" x14ac:dyDescent="0.2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</row>
    <row r="758" spans="1:27" ht="14.25" customHeight="1" x14ac:dyDescent="0.2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</row>
    <row r="759" spans="1:27" ht="14.25" customHeight="1" x14ac:dyDescent="0.2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</row>
    <row r="760" spans="1:27" ht="14.25" customHeight="1" x14ac:dyDescent="0.2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</row>
    <row r="761" spans="1:27" ht="14.25" customHeight="1" x14ac:dyDescent="0.2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</row>
    <row r="762" spans="1:27" ht="14.25" customHeight="1" x14ac:dyDescent="0.2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</row>
    <row r="763" spans="1:27" ht="14.25" customHeight="1" x14ac:dyDescent="0.2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</row>
    <row r="764" spans="1:27" ht="14.25" customHeight="1" x14ac:dyDescent="0.2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</row>
    <row r="765" spans="1:27" ht="14.25" customHeight="1" x14ac:dyDescent="0.2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</row>
    <row r="766" spans="1:27" ht="14.25" customHeight="1" x14ac:dyDescent="0.2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</row>
    <row r="767" spans="1:27" ht="14.25" customHeight="1" x14ac:dyDescent="0.2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</row>
    <row r="768" spans="1:27" ht="14.25" customHeight="1" x14ac:dyDescent="0.2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</row>
    <row r="769" spans="1:27" ht="14.25" customHeight="1" x14ac:dyDescent="0.2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</row>
    <row r="770" spans="1:27" ht="14.25" customHeight="1" x14ac:dyDescent="0.2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</row>
    <row r="771" spans="1:27" ht="14.25" customHeight="1" x14ac:dyDescent="0.2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</row>
    <row r="772" spans="1:27" ht="14.25" customHeight="1" x14ac:dyDescent="0.2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</row>
    <row r="773" spans="1:27" ht="14.25" customHeight="1" x14ac:dyDescent="0.2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</row>
    <row r="774" spans="1:27" ht="14.25" customHeight="1" x14ac:dyDescent="0.2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</row>
    <row r="775" spans="1:27" ht="14.25" customHeight="1" x14ac:dyDescent="0.2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</row>
    <row r="776" spans="1:27" ht="14.25" customHeight="1" x14ac:dyDescent="0.2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</row>
    <row r="777" spans="1:27" ht="14.25" customHeight="1" x14ac:dyDescent="0.2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</row>
    <row r="778" spans="1:27" ht="14.25" customHeight="1" x14ac:dyDescent="0.2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</row>
    <row r="779" spans="1:27" ht="14.25" customHeight="1" x14ac:dyDescent="0.2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</row>
    <row r="780" spans="1:27" ht="14.25" customHeight="1" x14ac:dyDescent="0.2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</row>
    <row r="781" spans="1:27" ht="14.25" customHeight="1" x14ac:dyDescent="0.2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</row>
    <row r="782" spans="1:27" ht="14.25" customHeight="1" x14ac:dyDescent="0.2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</row>
    <row r="783" spans="1:27" ht="14.25" customHeight="1" x14ac:dyDescent="0.2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</row>
    <row r="784" spans="1:27" ht="14.25" customHeight="1" x14ac:dyDescent="0.2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</row>
    <row r="785" spans="1:27" ht="14.25" customHeight="1" x14ac:dyDescent="0.2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</row>
    <row r="786" spans="1:27" ht="14.25" customHeight="1" x14ac:dyDescent="0.2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</row>
    <row r="787" spans="1:27" ht="14.25" customHeight="1" x14ac:dyDescent="0.2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</row>
    <row r="788" spans="1:27" ht="14.25" customHeight="1" x14ac:dyDescent="0.2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</row>
    <row r="789" spans="1:27" ht="14.25" customHeight="1" x14ac:dyDescent="0.2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</row>
    <row r="790" spans="1:27" ht="14.25" customHeight="1" x14ac:dyDescent="0.2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</row>
    <row r="791" spans="1:27" ht="14.25" customHeight="1" x14ac:dyDescent="0.2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</row>
    <row r="792" spans="1:27" ht="14.25" customHeight="1" x14ac:dyDescent="0.2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</row>
    <row r="793" spans="1:27" ht="14.25" customHeight="1" x14ac:dyDescent="0.2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</row>
    <row r="794" spans="1:27" ht="14.25" customHeight="1" x14ac:dyDescent="0.2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</row>
    <row r="795" spans="1:27" ht="14.25" customHeight="1" x14ac:dyDescent="0.2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</row>
    <row r="796" spans="1:27" ht="14.25" customHeight="1" x14ac:dyDescent="0.2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</row>
    <row r="797" spans="1:27" ht="14.25" customHeight="1" x14ac:dyDescent="0.2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</row>
    <row r="798" spans="1:27" ht="14.25" customHeight="1" x14ac:dyDescent="0.2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</row>
    <row r="799" spans="1:27" ht="14.25" customHeight="1" x14ac:dyDescent="0.2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</row>
    <row r="800" spans="1:27" ht="14.25" customHeight="1" x14ac:dyDescent="0.2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</row>
    <row r="801" spans="1:27" ht="14.25" customHeight="1" x14ac:dyDescent="0.2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</row>
    <row r="802" spans="1:27" ht="14.25" customHeight="1" x14ac:dyDescent="0.2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</row>
    <row r="803" spans="1:27" ht="14.25" customHeight="1" x14ac:dyDescent="0.2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</row>
    <row r="804" spans="1:27" ht="14.25" customHeight="1" x14ac:dyDescent="0.2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</row>
    <row r="805" spans="1:27" ht="14.25" customHeight="1" x14ac:dyDescent="0.2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</row>
    <row r="806" spans="1:27" ht="14.25" customHeight="1" x14ac:dyDescent="0.2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</row>
    <row r="807" spans="1:27" ht="14.25" customHeight="1" x14ac:dyDescent="0.2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</row>
    <row r="808" spans="1:27" ht="14.25" customHeight="1" x14ac:dyDescent="0.2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</row>
    <row r="809" spans="1:27" ht="14.25" customHeight="1" x14ac:dyDescent="0.2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</row>
    <row r="810" spans="1:27" ht="14.25" customHeight="1" x14ac:dyDescent="0.2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</row>
    <row r="811" spans="1:27" ht="14.25" customHeight="1" x14ac:dyDescent="0.2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</row>
    <row r="812" spans="1:27" ht="14.25" customHeight="1" x14ac:dyDescent="0.2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</row>
    <row r="813" spans="1:27" ht="14.25" customHeight="1" x14ac:dyDescent="0.2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</row>
    <row r="814" spans="1:27" ht="14.25" customHeight="1" x14ac:dyDescent="0.2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</row>
    <row r="815" spans="1:27" ht="14.25" customHeight="1" x14ac:dyDescent="0.2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</row>
    <row r="816" spans="1:27" ht="14.25" customHeight="1" x14ac:dyDescent="0.2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</row>
    <row r="817" spans="1:27" ht="14.25" customHeight="1" x14ac:dyDescent="0.2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</row>
    <row r="818" spans="1:27" ht="14.25" customHeight="1" x14ac:dyDescent="0.2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</row>
    <row r="819" spans="1:27" ht="14.25" customHeight="1" x14ac:dyDescent="0.2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</row>
    <row r="820" spans="1:27" ht="14.25" customHeight="1" x14ac:dyDescent="0.2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</row>
    <row r="821" spans="1:27" ht="14.25" customHeight="1" x14ac:dyDescent="0.2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</row>
    <row r="822" spans="1:27" ht="14.25" customHeight="1" x14ac:dyDescent="0.2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</row>
    <row r="823" spans="1:27" ht="14.25" customHeight="1" x14ac:dyDescent="0.2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</row>
    <row r="824" spans="1:27" ht="14.25" customHeight="1" x14ac:dyDescent="0.2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</row>
    <row r="825" spans="1:27" ht="14.25" customHeight="1" x14ac:dyDescent="0.2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</row>
    <row r="826" spans="1:27" ht="14.25" customHeight="1" x14ac:dyDescent="0.2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</row>
    <row r="827" spans="1:27" ht="14.25" customHeight="1" x14ac:dyDescent="0.2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</row>
    <row r="828" spans="1:27" ht="14.25" customHeight="1" x14ac:dyDescent="0.2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</row>
    <row r="829" spans="1:27" ht="14.25" customHeight="1" x14ac:dyDescent="0.2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</row>
    <row r="830" spans="1:27" ht="14.25" customHeight="1" x14ac:dyDescent="0.2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</row>
    <row r="831" spans="1:27" ht="14.25" customHeight="1" x14ac:dyDescent="0.2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</row>
    <row r="832" spans="1:27" ht="14.25" customHeight="1" x14ac:dyDescent="0.2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</row>
    <row r="833" spans="1:27" ht="14.25" customHeight="1" x14ac:dyDescent="0.2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</row>
    <row r="834" spans="1:27" ht="14.25" customHeight="1" x14ac:dyDescent="0.2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</row>
    <row r="835" spans="1:27" ht="14.25" customHeight="1" x14ac:dyDescent="0.2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</row>
    <row r="836" spans="1:27" ht="14.25" customHeight="1" x14ac:dyDescent="0.2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</row>
    <row r="837" spans="1:27" ht="14.25" customHeight="1" x14ac:dyDescent="0.2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</row>
    <row r="838" spans="1:27" ht="14.25" customHeight="1" x14ac:dyDescent="0.2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</row>
    <row r="839" spans="1:27" ht="14.25" customHeight="1" x14ac:dyDescent="0.2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</row>
    <row r="840" spans="1:27" ht="14.25" customHeight="1" x14ac:dyDescent="0.2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</row>
    <row r="841" spans="1:27" ht="14.25" customHeight="1" x14ac:dyDescent="0.2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</row>
    <row r="842" spans="1:27" ht="14.25" customHeight="1" x14ac:dyDescent="0.2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</row>
    <row r="843" spans="1:27" ht="14.25" customHeight="1" x14ac:dyDescent="0.2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</row>
    <row r="844" spans="1:27" ht="14.25" customHeight="1" x14ac:dyDescent="0.2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</row>
    <row r="845" spans="1:27" ht="14.25" customHeight="1" x14ac:dyDescent="0.2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</row>
    <row r="846" spans="1:27" ht="14.25" customHeight="1" x14ac:dyDescent="0.2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</row>
    <row r="847" spans="1:27" ht="14.25" customHeight="1" x14ac:dyDescent="0.2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</row>
    <row r="848" spans="1:27" ht="14.25" customHeight="1" x14ac:dyDescent="0.2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</row>
    <row r="849" spans="1:27" ht="14.25" customHeight="1" x14ac:dyDescent="0.2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</row>
    <row r="850" spans="1:27" ht="14.25" customHeight="1" x14ac:dyDescent="0.2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</row>
    <row r="851" spans="1:27" ht="14.25" customHeight="1" x14ac:dyDescent="0.2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</row>
    <row r="852" spans="1:27" ht="14.25" customHeight="1" x14ac:dyDescent="0.2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</row>
    <row r="853" spans="1:27" ht="14.25" customHeight="1" x14ac:dyDescent="0.2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</row>
    <row r="854" spans="1:27" ht="14.25" customHeight="1" x14ac:dyDescent="0.2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</row>
    <row r="855" spans="1:27" ht="14.25" customHeight="1" x14ac:dyDescent="0.2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</row>
    <row r="856" spans="1:27" ht="14.25" customHeight="1" x14ac:dyDescent="0.2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</row>
    <row r="857" spans="1:27" ht="14.25" customHeight="1" x14ac:dyDescent="0.2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</row>
    <row r="858" spans="1:27" ht="14.25" customHeight="1" x14ac:dyDescent="0.2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</row>
    <row r="859" spans="1:27" ht="14.25" customHeight="1" x14ac:dyDescent="0.2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</row>
    <row r="860" spans="1:27" ht="14.25" customHeight="1" x14ac:dyDescent="0.2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</row>
    <row r="861" spans="1:27" ht="14.25" customHeight="1" x14ac:dyDescent="0.2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</row>
    <row r="862" spans="1:27" ht="14.25" customHeight="1" x14ac:dyDescent="0.2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</row>
    <row r="863" spans="1:27" ht="14.25" customHeight="1" x14ac:dyDescent="0.2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</row>
    <row r="864" spans="1:27" ht="14.25" customHeight="1" x14ac:dyDescent="0.2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</row>
    <row r="865" spans="1:27" ht="14.25" customHeight="1" x14ac:dyDescent="0.2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</row>
    <row r="866" spans="1:27" ht="14.25" customHeight="1" x14ac:dyDescent="0.2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</row>
    <row r="867" spans="1:27" ht="14.25" customHeight="1" x14ac:dyDescent="0.2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</row>
    <row r="868" spans="1:27" ht="14.25" customHeight="1" x14ac:dyDescent="0.2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</row>
    <row r="869" spans="1:27" ht="14.25" customHeight="1" x14ac:dyDescent="0.2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</row>
    <row r="870" spans="1:27" ht="14.25" customHeight="1" x14ac:dyDescent="0.2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</row>
    <row r="871" spans="1:27" ht="14.25" customHeight="1" x14ac:dyDescent="0.2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</row>
    <row r="872" spans="1:27" ht="14.25" customHeight="1" x14ac:dyDescent="0.2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</row>
    <row r="873" spans="1:27" ht="14.25" customHeight="1" x14ac:dyDescent="0.2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</row>
    <row r="874" spans="1:27" ht="14.25" customHeight="1" x14ac:dyDescent="0.2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</row>
    <row r="875" spans="1:27" ht="14.25" customHeight="1" x14ac:dyDescent="0.2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</row>
    <row r="876" spans="1:27" ht="14.25" customHeight="1" x14ac:dyDescent="0.2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</row>
    <row r="877" spans="1:27" ht="14.25" customHeight="1" x14ac:dyDescent="0.2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</row>
    <row r="878" spans="1:27" ht="14.25" customHeight="1" x14ac:dyDescent="0.2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</row>
    <row r="879" spans="1:27" ht="14.25" customHeight="1" x14ac:dyDescent="0.2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</row>
    <row r="880" spans="1:27" ht="14.25" customHeight="1" x14ac:dyDescent="0.2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</row>
    <row r="881" spans="1:27" ht="14.25" customHeight="1" x14ac:dyDescent="0.2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</row>
    <row r="882" spans="1:27" ht="14.25" customHeight="1" x14ac:dyDescent="0.2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</row>
    <row r="883" spans="1:27" ht="14.25" customHeight="1" x14ac:dyDescent="0.2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</row>
    <row r="884" spans="1:27" ht="14.25" customHeight="1" x14ac:dyDescent="0.2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</row>
    <row r="885" spans="1:27" ht="14.25" customHeight="1" x14ac:dyDescent="0.2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</row>
    <row r="886" spans="1:27" ht="14.25" customHeight="1" x14ac:dyDescent="0.2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</row>
    <row r="887" spans="1:27" ht="14.25" customHeight="1" x14ac:dyDescent="0.2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</row>
    <row r="888" spans="1:27" ht="14.25" customHeight="1" x14ac:dyDescent="0.2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</row>
    <row r="889" spans="1:27" ht="14.25" customHeight="1" x14ac:dyDescent="0.2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</row>
    <row r="890" spans="1:27" ht="14.25" customHeight="1" x14ac:dyDescent="0.2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</row>
    <row r="891" spans="1:27" ht="14.25" customHeight="1" x14ac:dyDescent="0.2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</row>
    <row r="892" spans="1:27" ht="14.25" customHeight="1" x14ac:dyDescent="0.2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</row>
    <row r="893" spans="1:27" ht="14.25" customHeight="1" x14ac:dyDescent="0.2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</row>
    <row r="894" spans="1:27" ht="14.25" customHeight="1" x14ac:dyDescent="0.2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</row>
    <row r="895" spans="1:27" ht="14.25" customHeight="1" x14ac:dyDescent="0.2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</row>
    <row r="896" spans="1:27" ht="14.25" customHeight="1" x14ac:dyDescent="0.2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</row>
    <row r="897" spans="1:27" ht="14.25" customHeight="1" x14ac:dyDescent="0.2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</row>
    <row r="898" spans="1:27" ht="14.25" customHeight="1" x14ac:dyDescent="0.2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</row>
    <row r="899" spans="1:27" ht="14.25" customHeight="1" x14ac:dyDescent="0.2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</row>
    <row r="900" spans="1:27" ht="14.25" customHeight="1" x14ac:dyDescent="0.2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</row>
    <row r="901" spans="1:27" ht="14.25" customHeight="1" x14ac:dyDescent="0.2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</row>
    <row r="902" spans="1:27" ht="14.25" customHeight="1" x14ac:dyDescent="0.2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</row>
    <row r="903" spans="1:27" ht="14.25" customHeight="1" x14ac:dyDescent="0.2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</row>
    <row r="904" spans="1:27" ht="14.25" customHeight="1" x14ac:dyDescent="0.2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</row>
    <row r="905" spans="1:27" ht="14.25" customHeight="1" x14ac:dyDescent="0.2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</row>
    <row r="906" spans="1:27" ht="14.25" customHeight="1" x14ac:dyDescent="0.2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</row>
    <row r="907" spans="1:27" ht="14.25" customHeight="1" x14ac:dyDescent="0.2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</row>
    <row r="908" spans="1:27" ht="14.25" customHeight="1" x14ac:dyDescent="0.2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</row>
    <row r="909" spans="1:27" ht="14.25" customHeight="1" x14ac:dyDescent="0.2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</row>
    <row r="910" spans="1:27" ht="14.25" customHeight="1" x14ac:dyDescent="0.2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</row>
    <row r="911" spans="1:27" ht="14.25" customHeight="1" x14ac:dyDescent="0.2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</row>
    <row r="912" spans="1:27" ht="14.25" customHeight="1" x14ac:dyDescent="0.2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</row>
    <row r="913" spans="1:27" ht="14.25" customHeight="1" x14ac:dyDescent="0.2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</row>
    <row r="914" spans="1:27" ht="14.25" customHeight="1" x14ac:dyDescent="0.2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</row>
    <row r="915" spans="1:27" ht="14.25" customHeight="1" x14ac:dyDescent="0.2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</row>
    <row r="916" spans="1:27" ht="14.25" customHeight="1" x14ac:dyDescent="0.2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</row>
    <row r="917" spans="1:27" ht="14.25" customHeight="1" x14ac:dyDescent="0.2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</row>
    <row r="918" spans="1:27" ht="14.25" customHeight="1" x14ac:dyDescent="0.2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</row>
    <row r="919" spans="1:27" ht="14.25" customHeight="1" x14ac:dyDescent="0.2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</row>
    <row r="920" spans="1:27" ht="14.25" customHeight="1" x14ac:dyDescent="0.2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</row>
    <row r="921" spans="1:27" ht="14.25" customHeight="1" x14ac:dyDescent="0.2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</row>
    <row r="922" spans="1:27" ht="14.25" customHeight="1" x14ac:dyDescent="0.2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</row>
    <row r="923" spans="1:27" ht="14.25" customHeight="1" x14ac:dyDescent="0.2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</row>
    <row r="924" spans="1:27" ht="14.25" customHeight="1" x14ac:dyDescent="0.2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</row>
    <row r="925" spans="1:27" ht="14.25" customHeight="1" x14ac:dyDescent="0.2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</row>
    <row r="926" spans="1:27" ht="14.25" customHeight="1" x14ac:dyDescent="0.2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</row>
    <row r="927" spans="1:27" ht="14.25" customHeight="1" x14ac:dyDescent="0.2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</row>
    <row r="928" spans="1:27" ht="14.25" customHeight="1" x14ac:dyDescent="0.2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</row>
    <row r="929" spans="1:27" ht="14.25" customHeight="1" x14ac:dyDescent="0.2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</row>
    <row r="930" spans="1:27" ht="14.25" customHeight="1" x14ac:dyDescent="0.2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</row>
    <row r="931" spans="1:27" ht="14.25" customHeight="1" x14ac:dyDescent="0.2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</row>
    <row r="932" spans="1:27" ht="14.25" customHeight="1" x14ac:dyDescent="0.2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</row>
    <row r="933" spans="1:27" ht="14.25" customHeight="1" x14ac:dyDescent="0.2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</row>
    <row r="934" spans="1:27" ht="14.25" customHeight="1" x14ac:dyDescent="0.2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</row>
    <row r="935" spans="1:27" ht="14.25" customHeight="1" x14ac:dyDescent="0.2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</row>
    <row r="936" spans="1:27" ht="14.25" customHeight="1" x14ac:dyDescent="0.2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</row>
    <row r="937" spans="1:27" ht="14.25" customHeight="1" x14ac:dyDescent="0.2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</row>
    <row r="938" spans="1:27" ht="14.25" customHeight="1" x14ac:dyDescent="0.2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</row>
    <row r="939" spans="1:27" ht="14.25" customHeight="1" x14ac:dyDescent="0.2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</row>
    <row r="940" spans="1:27" ht="14.25" customHeight="1" x14ac:dyDescent="0.2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</row>
    <row r="941" spans="1:27" ht="14.25" customHeight="1" x14ac:dyDescent="0.2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</row>
    <row r="942" spans="1:27" ht="14.25" customHeight="1" x14ac:dyDescent="0.2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</row>
    <row r="943" spans="1:27" ht="14.25" customHeight="1" x14ac:dyDescent="0.2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</row>
    <row r="944" spans="1:27" ht="14.25" customHeight="1" x14ac:dyDescent="0.2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</row>
    <row r="945" spans="1:27" ht="14.25" customHeight="1" x14ac:dyDescent="0.2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</row>
    <row r="946" spans="1:27" ht="14.25" customHeight="1" x14ac:dyDescent="0.2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</row>
    <row r="947" spans="1:27" ht="14.25" customHeight="1" x14ac:dyDescent="0.2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</row>
    <row r="948" spans="1:27" ht="14.25" customHeight="1" x14ac:dyDescent="0.2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</row>
    <row r="949" spans="1:27" ht="14.25" customHeight="1" x14ac:dyDescent="0.2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</row>
    <row r="950" spans="1:27" ht="14.25" customHeight="1" x14ac:dyDescent="0.2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</row>
    <row r="951" spans="1:27" ht="14.25" customHeight="1" x14ac:dyDescent="0.2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</row>
    <row r="952" spans="1:27" ht="14.25" customHeight="1" x14ac:dyDescent="0.2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</row>
    <row r="953" spans="1:27" ht="14.25" customHeight="1" x14ac:dyDescent="0.2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</row>
    <row r="954" spans="1:27" ht="14.25" customHeight="1" x14ac:dyDescent="0.2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</row>
    <row r="955" spans="1:27" ht="14.25" customHeight="1" x14ac:dyDescent="0.2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</row>
    <row r="956" spans="1:27" ht="14.25" customHeight="1" x14ac:dyDescent="0.2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</row>
    <row r="957" spans="1:27" ht="14.25" customHeight="1" x14ac:dyDescent="0.2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</row>
    <row r="958" spans="1:27" ht="14.25" customHeight="1" x14ac:dyDescent="0.2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</row>
    <row r="959" spans="1:27" ht="14.25" customHeight="1" x14ac:dyDescent="0.2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</row>
  </sheetData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tabColor rgb="FF92D050"/>
  </sheetPr>
  <dimension ref="A1:C1000"/>
  <sheetViews>
    <sheetView workbookViewId="0"/>
  </sheetViews>
  <sheetFormatPr defaultColWidth="14.42578125" defaultRowHeight="15" customHeight="1" x14ac:dyDescent="0.25"/>
  <cols>
    <col min="1" max="1" width="19.5703125" customWidth="1"/>
    <col min="2" max="2" width="9.140625" customWidth="1"/>
    <col min="3" max="3" width="11.5703125" customWidth="1"/>
    <col min="4" max="6" width="9.140625" customWidth="1"/>
    <col min="7" max="26" width="10" customWidth="1"/>
  </cols>
  <sheetData>
    <row r="1" spans="1:3" ht="14.25" customHeight="1" x14ac:dyDescent="0.25">
      <c r="B1" s="99"/>
      <c r="C1" s="98" t="s">
        <v>445</v>
      </c>
    </row>
    <row r="2" spans="1:3" ht="44.25" customHeight="1" x14ac:dyDescent="0.25">
      <c r="A2" s="169" t="s">
        <v>446</v>
      </c>
      <c r="B2" s="160">
        <f>SUM('NEST DATA '!AI11:AI241)</f>
        <v>1261</v>
      </c>
      <c r="C2" s="160">
        <f>B2/B21*100</f>
        <v>11.069171348314606</v>
      </c>
    </row>
    <row r="3" spans="1:3" ht="30" customHeight="1" x14ac:dyDescent="0.25">
      <c r="A3" s="169" t="s">
        <v>447</v>
      </c>
      <c r="B3" s="160">
        <f>SUM('NEST DATA '!X11:X241)</f>
        <v>9157</v>
      </c>
      <c r="C3" s="160">
        <f>B3/B21*100</f>
        <v>80.380969101123597</v>
      </c>
    </row>
    <row r="4" spans="1:3" ht="29.25" customHeight="1" x14ac:dyDescent="0.25">
      <c r="A4" s="169" t="s">
        <v>448</v>
      </c>
      <c r="B4" s="160">
        <f>SUM('NEST DATA '!Y11:Y241)</f>
        <v>399</v>
      </c>
      <c r="C4" s="160">
        <f>B4/B21*100</f>
        <v>3.5024578651685392</v>
      </c>
    </row>
    <row r="5" spans="1:3" ht="56.25" customHeight="1" x14ac:dyDescent="0.25">
      <c r="A5" s="170" t="s">
        <v>449</v>
      </c>
      <c r="B5" s="160">
        <v>85</v>
      </c>
      <c r="C5" s="160">
        <f>B5/B21*100</f>
        <v>0.7461376404494382</v>
      </c>
    </row>
    <row r="6" spans="1:3" ht="31.5" customHeight="1" x14ac:dyDescent="0.25">
      <c r="A6" s="170" t="s">
        <v>450</v>
      </c>
      <c r="B6" s="171">
        <f>SUM('NEST DATA '!AJ11:AJ241)</f>
        <v>149</v>
      </c>
      <c r="C6" s="160">
        <f>B6/B21*100</f>
        <v>1.307935393258427</v>
      </c>
    </row>
    <row r="7" spans="1:3" ht="14.25" customHeight="1" x14ac:dyDescent="0.25">
      <c r="A7" s="169" t="s">
        <v>451</v>
      </c>
      <c r="B7" s="160">
        <v>0</v>
      </c>
      <c r="C7" s="160">
        <f>B7/B21*100</f>
        <v>0</v>
      </c>
    </row>
    <row r="8" spans="1:3" ht="14.25" customHeight="1" x14ac:dyDescent="0.25"/>
    <row r="9" spans="1:3" ht="14.25" customHeight="1" x14ac:dyDescent="0.25"/>
    <row r="10" spans="1:3" ht="14.25" customHeight="1" x14ac:dyDescent="0.25"/>
    <row r="11" spans="1:3" ht="14.25" customHeight="1" x14ac:dyDescent="0.25"/>
    <row r="12" spans="1:3" ht="14.25" customHeight="1" x14ac:dyDescent="0.25"/>
    <row r="13" spans="1:3" ht="14.25" customHeight="1" x14ac:dyDescent="0.25"/>
    <row r="14" spans="1:3" ht="14.25" customHeight="1" x14ac:dyDescent="0.25"/>
    <row r="15" spans="1:3" ht="14.25" customHeight="1" x14ac:dyDescent="0.25"/>
    <row r="16" spans="1:3" ht="14.25" customHeight="1" x14ac:dyDescent="0.25"/>
    <row r="17" spans="1:3" ht="14.25" customHeight="1" x14ac:dyDescent="0.25"/>
    <row r="18" spans="1:3" ht="14.25" customHeight="1" x14ac:dyDescent="0.25"/>
    <row r="19" spans="1:3" ht="14.25" customHeight="1" x14ac:dyDescent="0.25"/>
    <row r="20" spans="1:3" ht="14.25" customHeight="1" x14ac:dyDescent="0.25">
      <c r="A20" s="172"/>
      <c r="C20" s="98" t="s">
        <v>445</v>
      </c>
    </row>
    <row r="21" spans="1:3" ht="14.25" customHeight="1" x14ac:dyDescent="0.25">
      <c r="A21" s="173" t="s">
        <v>452</v>
      </c>
      <c r="B21" s="174">
        <f>SUM('NEST DATA '!U11:U241)</f>
        <v>11392</v>
      </c>
      <c r="C21" s="175">
        <v>100</v>
      </c>
    </row>
    <row r="22" spans="1:3" ht="27" customHeight="1" x14ac:dyDescent="0.25">
      <c r="A22" s="176" t="s">
        <v>453</v>
      </c>
      <c r="B22" s="160">
        <f>SUM('NEST DATA '!AH11:AH241)</f>
        <v>1431</v>
      </c>
      <c r="C22" s="175">
        <f>B22/B21*100</f>
        <v>12.561446629213483</v>
      </c>
    </row>
    <row r="23" spans="1:3" ht="35.25" customHeight="1" x14ac:dyDescent="0.25">
      <c r="A23" s="176" t="s">
        <v>454</v>
      </c>
      <c r="B23" s="160">
        <f>SUM('NEST DATA '!V11:V241)</f>
        <v>10157</v>
      </c>
      <c r="C23" s="175">
        <f>B23/B21*100</f>
        <v>89.159058988764045</v>
      </c>
    </row>
    <row r="24" spans="1:3" ht="14.25" customHeight="1" x14ac:dyDescent="0.25">
      <c r="A24" s="160" t="s">
        <v>455</v>
      </c>
      <c r="B24" s="160">
        <v>0</v>
      </c>
      <c r="C24" s="160">
        <f>SUM(B24/B21)*100</f>
        <v>0</v>
      </c>
    </row>
    <row r="25" spans="1:3" ht="14.25" customHeight="1" x14ac:dyDescent="0.25"/>
    <row r="26" spans="1:3" ht="14.25" customHeight="1" x14ac:dyDescent="0.25"/>
    <row r="27" spans="1:3" ht="14.25" customHeight="1" x14ac:dyDescent="0.25"/>
    <row r="28" spans="1:3" ht="14.25" customHeight="1" x14ac:dyDescent="0.25"/>
    <row r="29" spans="1:3" ht="14.25" customHeight="1" x14ac:dyDescent="0.25"/>
    <row r="30" spans="1:3" ht="14.25" customHeight="1" x14ac:dyDescent="0.25"/>
    <row r="31" spans="1:3" ht="14.25" customHeight="1" x14ac:dyDescent="0.25"/>
    <row r="32" spans="1:3" ht="14.25" customHeight="1" x14ac:dyDescent="0.25"/>
    <row r="33" spans="1:3" ht="14.25" customHeight="1" x14ac:dyDescent="0.25"/>
    <row r="34" spans="1:3" ht="14.25" customHeight="1" x14ac:dyDescent="0.25"/>
    <row r="35" spans="1:3" ht="14.25" customHeight="1" x14ac:dyDescent="0.25"/>
    <row r="36" spans="1:3" ht="14.25" customHeight="1" x14ac:dyDescent="0.25"/>
    <row r="37" spans="1:3" ht="14.25" customHeight="1" x14ac:dyDescent="0.25">
      <c r="C37" s="98" t="s">
        <v>445</v>
      </c>
    </row>
    <row r="38" spans="1:3" ht="30.75" customHeight="1" x14ac:dyDescent="0.25">
      <c r="A38" s="98" t="s">
        <v>437</v>
      </c>
      <c r="B38" s="160">
        <f>SUM('NEST DATA '!W11:W241)</f>
        <v>9664</v>
      </c>
      <c r="C38" s="160">
        <v>100</v>
      </c>
    </row>
    <row r="39" spans="1:3" ht="30.75" customHeight="1" x14ac:dyDescent="0.25">
      <c r="A39" s="177" t="s">
        <v>456</v>
      </c>
      <c r="B39" s="160">
        <f>SUM('NEST DATA '!X11:X241)</f>
        <v>9157</v>
      </c>
      <c r="C39" s="175">
        <f>(B39/B38)*100</f>
        <v>94.753725165562912</v>
      </c>
    </row>
    <row r="40" spans="1:3" ht="28.5" customHeight="1" x14ac:dyDescent="0.25">
      <c r="A40" s="178" t="s">
        <v>457</v>
      </c>
      <c r="B40" s="179">
        <f>SUM('NEST DATA '!Y11:Y241)</f>
        <v>399</v>
      </c>
      <c r="C40" s="180">
        <f>(B40/B38)*100</f>
        <v>4.1287251655629138</v>
      </c>
    </row>
    <row r="41" spans="1:3" ht="30.75" customHeight="1" x14ac:dyDescent="0.25">
      <c r="A41" s="178" t="s">
        <v>458</v>
      </c>
      <c r="B41" s="179">
        <v>653</v>
      </c>
      <c r="C41" s="180">
        <f>B41/B38*100</f>
        <v>6.7570364238410594</v>
      </c>
    </row>
    <row r="42" spans="1:3" ht="14.25" customHeight="1" x14ac:dyDescent="0.25"/>
    <row r="43" spans="1:3" ht="14.25" customHeight="1" x14ac:dyDescent="0.25"/>
    <row r="44" spans="1:3" ht="14.25" customHeight="1" x14ac:dyDescent="0.25"/>
    <row r="45" spans="1:3" ht="14.25" customHeight="1" x14ac:dyDescent="0.25"/>
    <row r="46" spans="1:3" ht="14.25" customHeight="1" x14ac:dyDescent="0.25"/>
    <row r="47" spans="1:3" ht="14.25" customHeight="1" x14ac:dyDescent="0.25"/>
    <row r="48" spans="1:3" ht="14.25" customHeight="1" x14ac:dyDescent="0.25"/>
    <row r="49" spans="1:3" ht="14.25" customHeight="1" x14ac:dyDescent="0.25"/>
    <row r="50" spans="1:3" ht="14.25" customHeight="1" x14ac:dyDescent="0.25"/>
    <row r="51" spans="1:3" ht="14.25" customHeight="1" x14ac:dyDescent="0.25"/>
    <row r="52" spans="1:3" ht="14.25" customHeight="1" x14ac:dyDescent="0.25"/>
    <row r="53" spans="1:3" ht="14.25" customHeight="1" x14ac:dyDescent="0.25"/>
    <row r="54" spans="1:3" ht="14.25" customHeight="1" x14ac:dyDescent="0.25"/>
    <row r="55" spans="1:3" ht="14.25" customHeight="1" x14ac:dyDescent="0.25"/>
    <row r="56" spans="1:3" ht="14.25" customHeight="1" x14ac:dyDescent="0.25"/>
    <row r="57" spans="1:3" ht="14.25" customHeight="1" x14ac:dyDescent="0.25"/>
    <row r="58" spans="1:3" ht="14.25" customHeight="1" x14ac:dyDescent="0.25"/>
    <row r="59" spans="1:3" ht="14.25" customHeight="1" x14ac:dyDescent="0.25">
      <c r="C59" s="98" t="s">
        <v>445</v>
      </c>
    </row>
    <row r="60" spans="1:3" ht="14.25" customHeight="1" x14ac:dyDescent="0.25">
      <c r="A60" s="160" t="s">
        <v>459</v>
      </c>
      <c r="B60" s="160">
        <f>SUM('NEST DATA '!AH11:AH241)</f>
        <v>1431</v>
      </c>
      <c r="C60" s="160"/>
    </row>
    <row r="61" spans="1:3" ht="57" customHeight="1" x14ac:dyDescent="0.25">
      <c r="A61" s="173" t="s">
        <v>460</v>
      </c>
      <c r="B61" s="160">
        <f>B2</f>
        <v>1261</v>
      </c>
      <c r="C61" s="181">
        <f>963/985*100</f>
        <v>97.766497461928935</v>
      </c>
    </row>
    <row r="62" spans="1:3" ht="64.5" customHeight="1" x14ac:dyDescent="0.25">
      <c r="A62" s="173" t="s">
        <v>461</v>
      </c>
      <c r="B62" s="160">
        <f>B6</f>
        <v>149</v>
      </c>
      <c r="C62" s="159">
        <f>B62/985*100</f>
        <v>15.126903553299492</v>
      </c>
    </row>
    <row r="63" spans="1:3" ht="14.25" customHeight="1" x14ac:dyDescent="0.25"/>
    <row r="64" spans="1:3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tabColor rgb="FF0070C0"/>
  </sheetPr>
  <dimension ref="A1:AC1000"/>
  <sheetViews>
    <sheetView workbookViewId="0"/>
  </sheetViews>
  <sheetFormatPr defaultColWidth="14.42578125" defaultRowHeight="15" customHeight="1" x14ac:dyDescent="0.25"/>
  <cols>
    <col min="1" max="1" width="9.140625" customWidth="1"/>
    <col min="2" max="2" width="11.42578125" customWidth="1"/>
    <col min="3" max="3" width="26.140625" customWidth="1"/>
    <col min="4" max="4" width="14.140625" customWidth="1"/>
    <col min="5" max="5" width="9.140625" customWidth="1"/>
    <col min="6" max="6" width="13" customWidth="1"/>
    <col min="7" max="29" width="9.140625" customWidth="1"/>
  </cols>
  <sheetData>
    <row r="1" spans="1:29" ht="55.5" customHeight="1" x14ac:dyDescent="0.25">
      <c r="A1" s="182" t="s">
        <v>462</v>
      </c>
      <c r="B1" s="182" t="s">
        <v>463</v>
      </c>
      <c r="C1" s="182" t="s">
        <v>464</v>
      </c>
      <c r="D1" s="182" t="s">
        <v>465</v>
      </c>
      <c r="E1" s="182" t="s">
        <v>466</v>
      </c>
      <c r="F1" s="182" t="s">
        <v>467</v>
      </c>
      <c r="G1" s="182" t="s">
        <v>468</v>
      </c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29" ht="14.25" customHeight="1" x14ac:dyDescent="0.25">
      <c r="A2" s="104" t="s">
        <v>89</v>
      </c>
      <c r="B2" s="104" t="s">
        <v>151</v>
      </c>
      <c r="C2" s="104" t="s">
        <v>469</v>
      </c>
      <c r="D2" s="103">
        <v>44377</v>
      </c>
      <c r="E2" s="104">
        <v>57</v>
      </c>
      <c r="F2" s="104">
        <v>12</v>
      </c>
      <c r="G2" s="104">
        <v>79</v>
      </c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29" ht="14.25" customHeight="1" x14ac:dyDescent="0.25">
      <c r="A3" s="110"/>
      <c r="B3" s="110"/>
      <c r="C3" s="110"/>
      <c r="D3" s="118"/>
      <c r="E3" s="118"/>
      <c r="F3" s="118"/>
      <c r="G3" s="118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ht="14.25" customHeight="1" x14ac:dyDescent="0.25">
      <c r="A4" s="110"/>
      <c r="B4" s="110"/>
      <c r="C4" s="110"/>
      <c r="D4" s="183"/>
      <c r="E4" s="118"/>
      <c r="F4" s="118"/>
      <c r="G4" s="118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29" ht="14.25" customHeight="1" x14ac:dyDescent="0.25">
      <c r="A5" s="110"/>
      <c r="B5" s="110"/>
      <c r="C5" s="110"/>
      <c r="D5" s="120"/>
      <c r="E5" s="118"/>
      <c r="F5" s="118"/>
      <c r="G5" s="118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29" ht="14.25" customHeight="1" x14ac:dyDescent="0.25">
      <c r="A6" s="110"/>
      <c r="B6" s="110"/>
      <c r="C6" s="110"/>
      <c r="D6" s="120"/>
      <c r="E6" s="118"/>
      <c r="F6" s="118"/>
      <c r="G6" s="118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</row>
    <row r="7" spans="1:29" ht="14.25" customHeight="1" x14ac:dyDescent="0.25">
      <c r="A7" s="110"/>
      <c r="B7" s="110"/>
      <c r="C7" s="110"/>
      <c r="D7" s="120"/>
      <c r="E7" s="118"/>
      <c r="F7" s="118"/>
      <c r="G7" s="118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</row>
    <row r="8" spans="1:29" ht="14.25" customHeight="1" x14ac:dyDescent="0.25">
      <c r="A8" s="118"/>
      <c r="B8" s="118"/>
      <c r="C8" s="118"/>
      <c r="D8" s="118"/>
      <c r="E8" s="118"/>
      <c r="F8" s="118"/>
      <c r="G8" s="11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</row>
    <row r="9" spans="1:29" ht="14.25" customHeight="1" x14ac:dyDescent="0.25">
      <c r="A9" s="110"/>
      <c r="B9" s="110"/>
      <c r="C9" s="110"/>
      <c r="D9" s="118"/>
      <c r="E9" s="118"/>
      <c r="F9" s="118"/>
      <c r="G9" s="11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1:29" ht="14.25" customHeight="1" x14ac:dyDescent="0.25">
      <c r="A10" s="118"/>
      <c r="B10" s="118"/>
      <c r="C10" s="118"/>
      <c r="D10" s="118"/>
      <c r="E10" s="118"/>
      <c r="F10" s="118"/>
      <c r="G10" s="118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</row>
    <row r="11" spans="1:29" ht="14.25" customHeight="1" x14ac:dyDescent="0.25">
      <c r="A11" s="118"/>
      <c r="B11" s="118"/>
      <c r="C11" s="118"/>
      <c r="D11" s="120"/>
      <c r="E11" s="118"/>
      <c r="F11" s="118"/>
      <c r="G11" s="11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</row>
    <row r="12" spans="1:29" ht="15" customHeight="1" x14ac:dyDescent="0.25">
      <c r="A12" s="118"/>
      <c r="B12" s="118"/>
      <c r="C12" s="118"/>
      <c r="D12" s="118"/>
      <c r="E12" s="118"/>
      <c r="F12" s="118"/>
      <c r="G12" s="118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</row>
    <row r="13" spans="1:29" ht="14.25" customHeight="1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</row>
    <row r="14" spans="1:29" ht="14.25" customHeight="1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</row>
    <row r="15" spans="1:29" ht="15" customHeight="1" x14ac:dyDescent="0.25">
      <c r="A15" s="66"/>
      <c r="B15" s="66"/>
      <c r="C15" s="66"/>
      <c r="D15" s="11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184"/>
      <c r="W15" s="184"/>
      <c r="X15" s="184"/>
      <c r="Y15" s="184"/>
      <c r="Z15" s="184"/>
      <c r="AA15" s="184"/>
      <c r="AB15" s="66"/>
      <c r="AC15" s="66"/>
    </row>
    <row r="16" spans="1:29" ht="15" customHeight="1" x14ac:dyDescent="0.25">
      <c r="A16" s="65"/>
      <c r="B16" s="65"/>
      <c r="C16" s="65"/>
      <c r="D16" s="18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8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186"/>
    </row>
    <row r="17" spans="1:29" ht="15" customHeight="1" x14ac:dyDescent="0.25">
      <c r="A17" s="66"/>
      <c r="B17" s="66"/>
      <c r="C17" s="66"/>
      <c r="D17" s="111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1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29" ht="14.25" customHeight="1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</row>
    <row r="19" spans="1:29" ht="14.25" customHeight="1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</row>
    <row r="20" spans="1:29" ht="14.25" customHeight="1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</row>
    <row r="21" spans="1:29" ht="14.25" customHeight="1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</row>
    <row r="22" spans="1:29" ht="14.25" customHeight="1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</row>
    <row r="23" spans="1:29" ht="14.25" customHeight="1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</row>
    <row r="24" spans="1:29" ht="14.25" customHeight="1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</row>
    <row r="25" spans="1:29" ht="14.25" customHeight="1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</row>
    <row r="26" spans="1:29" ht="14.25" customHeight="1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</row>
    <row r="27" spans="1:29" ht="14.25" customHeight="1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</row>
    <row r="28" spans="1:29" ht="14.25" customHeight="1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</row>
    <row r="29" spans="1:29" ht="14.25" customHeight="1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</row>
    <row r="30" spans="1:29" ht="14.25" customHeight="1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</row>
    <row r="31" spans="1:29" ht="14.25" customHeight="1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</row>
    <row r="32" spans="1:29" ht="14.25" customHeight="1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</row>
    <row r="33" spans="1:29" ht="14.25" customHeight="1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</row>
    <row r="34" spans="1:29" ht="14.25" customHeight="1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</row>
    <row r="35" spans="1:29" ht="14.25" customHeight="1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</row>
    <row r="36" spans="1:29" ht="14.25" customHeight="1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</row>
    <row r="37" spans="1:29" ht="14.25" customHeight="1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</row>
    <row r="38" spans="1:29" ht="14.25" customHeight="1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</row>
    <row r="39" spans="1:29" ht="14.25" customHeight="1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</row>
    <row r="40" spans="1:29" ht="14.25" customHeight="1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</row>
    <row r="41" spans="1:29" ht="14.25" customHeight="1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29" ht="14.25" customHeight="1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</row>
    <row r="43" spans="1:29" ht="14.25" customHeigh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</row>
    <row r="44" spans="1:29" ht="14.25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</row>
    <row r="45" spans="1:29" ht="14.25" customHeight="1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</row>
    <row r="46" spans="1:29" ht="14.25" customHeight="1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</row>
    <row r="47" spans="1:29" ht="14.25" customHeight="1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</row>
    <row r="48" spans="1:29" ht="14.25" customHeight="1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</row>
    <row r="49" spans="1:29" ht="14.25" customHeight="1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</row>
    <row r="50" spans="1:29" ht="14.25" customHeight="1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</row>
    <row r="51" spans="1:29" ht="14.25" customHeight="1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</row>
    <row r="52" spans="1:29" ht="14.25" customHeight="1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</row>
    <row r="53" spans="1:29" ht="14.25" customHeight="1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</row>
    <row r="54" spans="1:29" ht="14.25" customHeight="1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</row>
    <row r="55" spans="1:29" ht="14.25" customHeight="1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</row>
    <row r="56" spans="1:29" ht="14.25" customHeight="1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</row>
    <row r="57" spans="1:29" ht="14.25" customHeight="1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</row>
    <row r="58" spans="1:29" ht="14.25" customHeight="1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</row>
    <row r="59" spans="1:29" ht="14.25" customHeight="1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</row>
    <row r="60" spans="1:29" ht="14.25" customHeight="1" x14ac:dyDescent="0.2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</row>
    <row r="61" spans="1:29" ht="14.25" customHeight="1" x14ac:dyDescent="0.2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</row>
    <row r="62" spans="1:29" ht="14.25" customHeight="1" x14ac:dyDescent="0.2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</row>
    <row r="63" spans="1:29" ht="14.25" customHeight="1" x14ac:dyDescent="0.2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</row>
    <row r="64" spans="1:29" ht="14.25" customHeight="1" x14ac:dyDescent="0.2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</row>
    <row r="65" spans="1:29" ht="14.25" customHeight="1" x14ac:dyDescent="0.2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</row>
    <row r="66" spans="1:29" ht="14.25" customHeight="1" x14ac:dyDescent="0.2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</row>
    <row r="67" spans="1:29" ht="14.25" customHeight="1" x14ac:dyDescent="0.2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</row>
    <row r="68" spans="1:29" ht="14.25" customHeight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</row>
    <row r="69" spans="1:29" ht="14.25" customHeight="1" x14ac:dyDescent="0.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</row>
    <row r="70" spans="1:29" ht="14.25" customHeight="1" x14ac:dyDescent="0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</row>
    <row r="71" spans="1:29" ht="14.25" customHeight="1" x14ac:dyDescent="0.2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</row>
    <row r="72" spans="1:29" ht="14.25" customHeight="1" x14ac:dyDescent="0.2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</row>
    <row r="73" spans="1:29" ht="14.25" customHeight="1" x14ac:dyDescent="0.2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</row>
    <row r="74" spans="1:29" ht="14.25" customHeight="1" x14ac:dyDescent="0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</row>
    <row r="75" spans="1:29" ht="14.25" customHeight="1" x14ac:dyDescent="0.2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</row>
    <row r="76" spans="1:29" ht="14.25" customHeight="1" x14ac:dyDescent="0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</row>
    <row r="77" spans="1:29" ht="14.25" customHeight="1" x14ac:dyDescent="0.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</row>
    <row r="78" spans="1:29" ht="14.25" customHeight="1" x14ac:dyDescent="0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</row>
    <row r="79" spans="1:29" ht="14.25" customHeight="1" x14ac:dyDescent="0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</row>
    <row r="80" spans="1:29" ht="14.25" customHeight="1" x14ac:dyDescent="0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</row>
    <row r="81" spans="1:29" ht="14.25" customHeight="1" x14ac:dyDescent="0.2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</row>
    <row r="82" spans="1:29" ht="14.25" customHeight="1" x14ac:dyDescent="0.2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</row>
    <row r="83" spans="1:29" ht="14.25" customHeight="1" x14ac:dyDescent="0.2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</row>
    <row r="84" spans="1:29" ht="14.25" customHeight="1" x14ac:dyDescent="0.2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</row>
    <row r="85" spans="1:29" ht="14.25" customHeight="1" x14ac:dyDescent="0.2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</row>
    <row r="86" spans="1:29" ht="14.25" customHeight="1" x14ac:dyDescent="0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</row>
    <row r="87" spans="1:29" ht="14.25" customHeight="1" x14ac:dyDescent="0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</row>
    <row r="88" spans="1:29" ht="14.25" customHeight="1" x14ac:dyDescent="0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</row>
    <row r="89" spans="1:29" ht="14.25" customHeight="1" x14ac:dyDescent="0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</row>
    <row r="90" spans="1:29" ht="14.25" customHeight="1" x14ac:dyDescent="0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</row>
    <row r="91" spans="1:29" ht="14.25" customHeight="1" x14ac:dyDescent="0.2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</row>
    <row r="92" spans="1:29" ht="14.25" customHeight="1" x14ac:dyDescent="0.2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</row>
    <row r="93" spans="1:29" ht="14.25" customHeight="1" x14ac:dyDescent="0.2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</row>
    <row r="94" spans="1:29" ht="14.25" customHeight="1" x14ac:dyDescent="0.2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</row>
    <row r="95" spans="1:29" ht="14.25" customHeight="1" x14ac:dyDescent="0.2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</row>
    <row r="96" spans="1:29" ht="14.25" customHeight="1" x14ac:dyDescent="0.2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</row>
    <row r="97" spans="1:29" ht="14.25" customHeight="1" x14ac:dyDescent="0.2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</row>
    <row r="98" spans="1:29" ht="14.25" customHeight="1" x14ac:dyDescent="0.2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</row>
    <row r="99" spans="1:29" ht="14.25" customHeight="1" x14ac:dyDescent="0.2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</row>
    <row r="100" spans="1:29" ht="14.25" customHeight="1" x14ac:dyDescent="0.2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</row>
    <row r="101" spans="1:29" ht="14.25" customHeight="1" x14ac:dyDescent="0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</row>
    <row r="102" spans="1:29" ht="14.25" customHeight="1" x14ac:dyDescent="0.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</row>
    <row r="103" spans="1:29" ht="14.25" customHeight="1" x14ac:dyDescent="0.2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</row>
    <row r="104" spans="1:29" ht="14.25" customHeight="1" x14ac:dyDescent="0.2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</row>
    <row r="105" spans="1:29" ht="14.25" customHeight="1" x14ac:dyDescent="0.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1:29" ht="14.25" customHeight="1" x14ac:dyDescent="0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</row>
    <row r="107" spans="1:29" ht="14.25" customHeight="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</row>
    <row r="108" spans="1:29" ht="14.25" customHeight="1" x14ac:dyDescent="0.2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</row>
    <row r="109" spans="1:29" ht="14.25" customHeight="1" x14ac:dyDescent="0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</row>
    <row r="110" spans="1:29" ht="14.25" customHeight="1" x14ac:dyDescent="0.2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</row>
    <row r="111" spans="1:29" ht="14.25" customHeight="1" x14ac:dyDescent="0.2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</row>
    <row r="112" spans="1:29" ht="14.25" customHeight="1" x14ac:dyDescent="0.2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</row>
    <row r="113" spans="1:29" ht="14.25" customHeight="1" x14ac:dyDescent="0.2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</row>
    <row r="114" spans="1:29" ht="14.25" customHeight="1" x14ac:dyDescent="0.2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</row>
    <row r="115" spans="1:29" ht="14.25" customHeight="1" x14ac:dyDescent="0.2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</row>
    <row r="116" spans="1:29" ht="14.25" customHeight="1" x14ac:dyDescent="0.2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</row>
    <row r="117" spans="1:29" ht="14.25" customHeight="1" x14ac:dyDescent="0.2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</row>
    <row r="118" spans="1:29" ht="14.25" customHeight="1" x14ac:dyDescent="0.2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</row>
    <row r="119" spans="1:29" ht="14.25" customHeight="1" x14ac:dyDescent="0.2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</row>
    <row r="120" spans="1:29" ht="14.25" customHeight="1" x14ac:dyDescent="0.2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</row>
    <row r="121" spans="1:29" ht="14.25" customHeight="1" x14ac:dyDescent="0.2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</row>
    <row r="122" spans="1:29" ht="14.25" customHeight="1" x14ac:dyDescent="0.2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</row>
    <row r="123" spans="1:29" ht="14.25" customHeight="1" x14ac:dyDescent="0.2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</row>
    <row r="124" spans="1:29" ht="14.25" customHeight="1" x14ac:dyDescent="0.2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</row>
    <row r="125" spans="1:29" ht="14.25" customHeight="1" x14ac:dyDescent="0.2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</row>
    <row r="126" spans="1:29" ht="14.25" customHeight="1" x14ac:dyDescent="0.2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</row>
    <row r="127" spans="1:29" ht="14.25" customHeight="1" x14ac:dyDescent="0.2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</row>
    <row r="128" spans="1:29" ht="14.25" customHeight="1" x14ac:dyDescent="0.2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</row>
    <row r="129" spans="1:29" ht="14.25" customHeight="1" x14ac:dyDescent="0.2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</row>
    <row r="130" spans="1:29" ht="14.25" customHeight="1" x14ac:dyDescent="0.2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</row>
    <row r="131" spans="1:29" ht="14.25" customHeight="1" x14ac:dyDescent="0.2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</row>
    <row r="132" spans="1:29" ht="14.25" customHeight="1" x14ac:dyDescent="0.2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</row>
    <row r="133" spans="1:29" ht="14.25" customHeight="1" x14ac:dyDescent="0.2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</row>
    <row r="134" spans="1:29" ht="14.25" customHeight="1" x14ac:dyDescent="0.2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</row>
    <row r="135" spans="1:29" ht="14.25" customHeight="1" x14ac:dyDescent="0.2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</row>
    <row r="136" spans="1:29" ht="14.25" customHeight="1" x14ac:dyDescent="0.2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</row>
    <row r="137" spans="1:29" ht="14.25" customHeight="1" x14ac:dyDescent="0.2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</row>
    <row r="138" spans="1:29" ht="14.25" customHeight="1" x14ac:dyDescent="0.2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</row>
    <row r="139" spans="1:29" ht="14.25" customHeight="1" x14ac:dyDescent="0.2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</row>
    <row r="140" spans="1:29" ht="14.25" customHeight="1" x14ac:dyDescent="0.2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</row>
    <row r="141" spans="1:29" ht="14.25" customHeight="1" x14ac:dyDescent="0.2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</row>
    <row r="142" spans="1:29" ht="14.25" customHeight="1" x14ac:dyDescent="0.2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</row>
    <row r="143" spans="1:29" ht="14.25" customHeight="1" x14ac:dyDescent="0.2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</row>
    <row r="144" spans="1:29" ht="14.25" customHeight="1" x14ac:dyDescent="0.2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</row>
    <row r="145" spans="1:29" ht="14.25" customHeight="1" x14ac:dyDescent="0.2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</row>
    <row r="146" spans="1:29" ht="14.25" customHeight="1" x14ac:dyDescent="0.2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</row>
    <row r="147" spans="1:29" ht="14.25" customHeight="1" x14ac:dyDescent="0.2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</row>
    <row r="148" spans="1:29" ht="14.25" customHeight="1" x14ac:dyDescent="0.2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</row>
    <row r="149" spans="1:29" ht="14.25" customHeight="1" x14ac:dyDescent="0.2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</row>
    <row r="150" spans="1:29" ht="14.25" customHeight="1" x14ac:dyDescent="0.2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</row>
    <row r="151" spans="1:29" ht="14.25" customHeight="1" x14ac:dyDescent="0.2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</row>
    <row r="152" spans="1:29" ht="14.25" customHeight="1" x14ac:dyDescent="0.2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</row>
    <row r="153" spans="1:29" ht="14.25" customHeight="1" x14ac:dyDescent="0.2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</row>
    <row r="154" spans="1:29" ht="14.25" customHeight="1" x14ac:dyDescent="0.2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</row>
    <row r="155" spans="1:29" ht="14.25" customHeight="1" x14ac:dyDescent="0.2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</row>
    <row r="156" spans="1:29" ht="14.25" customHeight="1" x14ac:dyDescent="0.2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</row>
    <row r="157" spans="1:29" ht="14.25" customHeight="1" x14ac:dyDescent="0.2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</row>
    <row r="158" spans="1:29" ht="14.25" customHeight="1" x14ac:dyDescent="0.2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</row>
    <row r="159" spans="1:29" ht="14.25" customHeight="1" x14ac:dyDescent="0.2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</row>
    <row r="160" spans="1:29" ht="14.25" customHeight="1" x14ac:dyDescent="0.2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</row>
    <row r="161" spans="1:29" ht="14.25" customHeight="1" x14ac:dyDescent="0.2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</row>
    <row r="162" spans="1:29" ht="14.25" customHeight="1" x14ac:dyDescent="0.2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</row>
    <row r="163" spans="1:29" ht="14.25" customHeight="1" x14ac:dyDescent="0.2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</row>
    <row r="164" spans="1:29" ht="14.25" customHeight="1" x14ac:dyDescent="0.2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</row>
    <row r="165" spans="1:29" ht="14.25" customHeight="1" x14ac:dyDescent="0.2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</row>
    <row r="166" spans="1:29" ht="14.25" customHeight="1" x14ac:dyDescent="0.2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</row>
    <row r="167" spans="1:29" ht="14.25" customHeight="1" x14ac:dyDescent="0.2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</row>
    <row r="168" spans="1:29" ht="14.25" customHeight="1" x14ac:dyDescent="0.2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</row>
    <row r="169" spans="1:29" ht="14.25" customHeight="1" x14ac:dyDescent="0.2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</row>
    <row r="170" spans="1:29" ht="14.25" customHeight="1" x14ac:dyDescent="0.2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</row>
    <row r="171" spans="1:29" ht="14.25" customHeight="1" x14ac:dyDescent="0.2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</row>
    <row r="172" spans="1:29" ht="14.25" customHeight="1" x14ac:dyDescent="0.2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</row>
    <row r="173" spans="1:29" ht="14.25" customHeight="1" x14ac:dyDescent="0.2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</row>
    <row r="174" spans="1:29" ht="14.25" customHeight="1" x14ac:dyDescent="0.2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</row>
    <row r="175" spans="1:29" ht="14.25" customHeight="1" x14ac:dyDescent="0.2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</row>
    <row r="176" spans="1:29" ht="14.25" customHeight="1" x14ac:dyDescent="0.2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</row>
    <row r="177" spans="1:29" ht="14.25" customHeight="1" x14ac:dyDescent="0.2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</row>
    <row r="178" spans="1:29" ht="14.25" customHeight="1" x14ac:dyDescent="0.2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</row>
    <row r="179" spans="1:29" ht="14.25" customHeight="1" x14ac:dyDescent="0.2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</row>
    <row r="180" spans="1:29" ht="14.25" customHeight="1" x14ac:dyDescent="0.2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</row>
    <row r="181" spans="1:29" ht="14.25" customHeight="1" x14ac:dyDescent="0.2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</row>
    <row r="182" spans="1:29" ht="14.25" customHeight="1" x14ac:dyDescent="0.2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</row>
    <row r="183" spans="1:29" ht="14.25" customHeight="1" x14ac:dyDescent="0.2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</row>
    <row r="184" spans="1:29" ht="14.25" customHeight="1" x14ac:dyDescent="0.2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</row>
    <row r="185" spans="1:29" ht="14.25" customHeight="1" x14ac:dyDescent="0.2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</row>
    <row r="186" spans="1:29" ht="14.25" customHeight="1" x14ac:dyDescent="0.2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</row>
    <row r="187" spans="1:29" ht="14.25" customHeight="1" x14ac:dyDescent="0.2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</row>
    <row r="188" spans="1:29" ht="14.25" customHeight="1" x14ac:dyDescent="0.2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</row>
    <row r="189" spans="1:29" ht="14.25" customHeight="1" x14ac:dyDescent="0.2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</row>
    <row r="190" spans="1:29" ht="14.25" customHeight="1" x14ac:dyDescent="0.2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</row>
    <row r="191" spans="1:29" ht="14.25" customHeight="1" x14ac:dyDescent="0.2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</row>
    <row r="192" spans="1:29" ht="14.25" customHeight="1" x14ac:dyDescent="0.2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</row>
    <row r="193" spans="1:29" ht="14.25" customHeight="1" x14ac:dyDescent="0.2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</row>
    <row r="194" spans="1:29" ht="14.25" customHeight="1" x14ac:dyDescent="0.2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</row>
    <row r="195" spans="1:29" ht="14.25" customHeight="1" x14ac:dyDescent="0.2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</row>
    <row r="196" spans="1:29" ht="14.25" customHeight="1" x14ac:dyDescent="0.2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</row>
    <row r="197" spans="1:29" ht="14.25" customHeight="1" x14ac:dyDescent="0.2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</row>
    <row r="198" spans="1:29" ht="14.25" customHeight="1" x14ac:dyDescent="0.2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</row>
    <row r="199" spans="1:29" ht="14.25" customHeight="1" x14ac:dyDescent="0.2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</row>
    <row r="200" spans="1:29" ht="14.25" customHeight="1" x14ac:dyDescent="0.2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</row>
    <row r="201" spans="1:29" ht="14.25" customHeight="1" x14ac:dyDescent="0.2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</row>
    <row r="202" spans="1:29" ht="14.25" customHeight="1" x14ac:dyDescent="0.2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</row>
    <row r="203" spans="1:29" ht="14.25" customHeight="1" x14ac:dyDescent="0.2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</row>
    <row r="204" spans="1:29" ht="14.25" customHeight="1" x14ac:dyDescent="0.2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</row>
    <row r="205" spans="1:29" ht="14.25" customHeight="1" x14ac:dyDescent="0.2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</row>
    <row r="206" spans="1:29" ht="14.25" customHeight="1" x14ac:dyDescent="0.2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</row>
    <row r="207" spans="1:29" ht="14.25" customHeight="1" x14ac:dyDescent="0.2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</row>
    <row r="208" spans="1:29" ht="14.25" customHeight="1" x14ac:dyDescent="0.2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</row>
    <row r="209" spans="1:29" ht="14.25" customHeight="1" x14ac:dyDescent="0.2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</row>
    <row r="210" spans="1:29" ht="14.25" customHeight="1" x14ac:dyDescent="0.2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</row>
    <row r="211" spans="1:29" ht="14.25" customHeight="1" x14ac:dyDescent="0.2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</row>
    <row r="212" spans="1:29" ht="14.25" customHeight="1" x14ac:dyDescent="0.2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</row>
    <row r="213" spans="1:29" ht="14.25" customHeight="1" x14ac:dyDescent="0.2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</row>
    <row r="214" spans="1:29" ht="14.25" customHeight="1" x14ac:dyDescent="0.2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</row>
    <row r="215" spans="1:29" ht="14.25" customHeight="1" x14ac:dyDescent="0.2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</row>
    <row r="216" spans="1:29" ht="14.25" customHeight="1" x14ac:dyDescent="0.2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</row>
    <row r="217" spans="1:29" ht="14.25" customHeight="1" x14ac:dyDescent="0.2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</row>
    <row r="218" spans="1:29" ht="14.25" customHeight="1" x14ac:dyDescent="0.2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</row>
    <row r="219" spans="1:29" ht="14.25" customHeight="1" x14ac:dyDescent="0.2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</row>
    <row r="220" spans="1:29" ht="14.25" customHeight="1" x14ac:dyDescent="0.2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</row>
    <row r="221" spans="1:29" ht="14.25" customHeight="1" x14ac:dyDescent="0.2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</row>
    <row r="222" spans="1:29" ht="14.25" customHeight="1" x14ac:dyDescent="0.2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</row>
    <row r="223" spans="1:29" ht="14.25" customHeight="1" x14ac:dyDescent="0.2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</row>
    <row r="224" spans="1:29" ht="14.25" customHeight="1" x14ac:dyDescent="0.2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</row>
    <row r="225" spans="1:29" ht="14.25" customHeight="1" x14ac:dyDescent="0.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</row>
    <row r="226" spans="1:29" ht="14.25" customHeight="1" x14ac:dyDescent="0.2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</row>
    <row r="227" spans="1:29" ht="14.25" customHeight="1" x14ac:dyDescent="0.2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</row>
    <row r="228" spans="1:29" ht="14.25" customHeight="1" x14ac:dyDescent="0.2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</row>
    <row r="229" spans="1:29" ht="14.25" customHeight="1" x14ac:dyDescent="0.2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</row>
    <row r="230" spans="1:29" ht="14.25" customHeight="1" x14ac:dyDescent="0.2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</row>
    <row r="231" spans="1:29" ht="14.25" customHeight="1" x14ac:dyDescent="0.2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</row>
    <row r="232" spans="1:29" ht="14.25" customHeight="1" x14ac:dyDescent="0.2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</row>
    <row r="233" spans="1:29" ht="14.25" customHeight="1" x14ac:dyDescent="0.2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</row>
    <row r="234" spans="1:29" ht="14.25" customHeight="1" x14ac:dyDescent="0.2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</row>
    <row r="235" spans="1:29" ht="14.25" customHeight="1" x14ac:dyDescent="0.2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</row>
    <row r="236" spans="1:29" ht="14.25" customHeight="1" x14ac:dyDescent="0.2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</row>
    <row r="237" spans="1:29" ht="14.25" customHeight="1" x14ac:dyDescent="0.2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</row>
    <row r="238" spans="1:29" ht="14.25" customHeight="1" x14ac:dyDescent="0.2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</row>
    <row r="239" spans="1:29" ht="14.25" customHeight="1" x14ac:dyDescent="0.2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</row>
    <row r="240" spans="1:29" ht="14.25" customHeight="1" x14ac:dyDescent="0.2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</row>
    <row r="241" spans="1:29" ht="14.25" customHeight="1" x14ac:dyDescent="0.2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</row>
    <row r="242" spans="1:29" ht="14.25" customHeight="1" x14ac:dyDescent="0.2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</row>
    <row r="243" spans="1:29" ht="14.25" customHeight="1" x14ac:dyDescent="0.2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</row>
    <row r="244" spans="1:29" ht="14.25" customHeight="1" x14ac:dyDescent="0.2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</row>
    <row r="245" spans="1:29" ht="14.25" customHeight="1" x14ac:dyDescent="0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</row>
    <row r="246" spans="1:29" ht="14.25" customHeight="1" x14ac:dyDescent="0.2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</row>
    <row r="247" spans="1:29" ht="14.25" customHeight="1" x14ac:dyDescent="0.2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</row>
    <row r="248" spans="1:29" ht="14.25" customHeight="1" x14ac:dyDescent="0.2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</row>
    <row r="249" spans="1:29" ht="14.25" customHeight="1" x14ac:dyDescent="0.2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</row>
    <row r="250" spans="1:29" ht="14.25" customHeight="1" x14ac:dyDescent="0.2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</row>
    <row r="251" spans="1:29" ht="14.25" customHeight="1" x14ac:dyDescent="0.2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</row>
    <row r="252" spans="1:29" ht="14.25" customHeight="1" x14ac:dyDescent="0.2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</row>
    <row r="253" spans="1:29" ht="14.25" customHeight="1" x14ac:dyDescent="0.2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</row>
    <row r="254" spans="1:29" ht="14.25" customHeight="1" x14ac:dyDescent="0.2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</row>
    <row r="255" spans="1:29" ht="14.25" customHeight="1" x14ac:dyDescent="0.2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</row>
    <row r="256" spans="1:29" ht="14.25" customHeight="1" x14ac:dyDescent="0.2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</row>
    <row r="257" spans="1:29" ht="14.25" customHeight="1" x14ac:dyDescent="0.2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</row>
    <row r="258" spans="1:29" ht="14.25" customHeight="1" x14ac:dyDescent="0.2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</row>
    <row r="259" spans="1:29" ht="14.25" customHeight="1" x14ac:dyDescent="0.2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</row>
    <row r="260" spans="1:29" ht="14.25" customHeight="1" x14ac:dyDescent="0.2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</row>
    <row r="261" spans="1:29" ht="14.25" customHeight="1" x14ac:dyDescent="0.2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</row>
    <row r="262" spans="1:29" ht="14.25" customHeight="1" x14ac:dyDescent="0.2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</row>
    <row r="263" spans="1:29" ht="14.25" customHeight="1" x14ac:dyDescent="0.2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</row>
    <row r="264" spans="1:29" ht="14.25" customHeight="1" x14ac:dyDescent="0.2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</row>
    <row r="265" spans="1:29" ht="14.25" customHeight="1" x14ac:dyDescent="0.2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</row>
    <row r="266" spans="1:29" ht="14.25" customHeight="1" x14ac:dyDescent="0.2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</row>
    <row r="267" spans="1:29" ht="14.25" customHeight="1" x14ac:dyDescent="0.2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</row>
    <row r="268" spans="1:29" ht="14.25" customHeight="1" x14ac:dyDescent="0.2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</row>
    <row r="269" spans="1:29" ht="14.25" customHeight="1" x14ac:dyDescent="0.2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</row>
    <row r="270" spans="1:29" ht="14.25" customHeight="1" x14ac:dyDescent="0.2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</row>
    <row r="271" spans="1:29" ht="14.25" customHeight="1" x14ac:dyDescent="0.2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</row>
    <row r="272" spans="1:29" ht="14.25" customHeight="1" x14ac:dyDescent="0.2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</row>
    <row r="273" spans="1:29" ht="14.25" customHeight="1" x14ac:dyDescent="0.2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</row>
    <row r="274" spans="1:29" ht="14.25" customHeight="1" x14ac:dyDescent="0.2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</row>
    <row r="275" spans="1:29" ht="14.25" customHeight="1" x14ac:dyDescent="0.2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</row>
    <row r="276" spans="1:29" ht="14.25" customHeight="1" x14ac:dyDescent="0.2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</row>
    <row r="277" spans="1:29" ht="14.25" customHeight="1" x14ac:dyDescent="0.2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</row>
    <row r="278" spans="1:29" ht="14.25" customHeight="1" x14ac:dyDescent="0.2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</row>
    <row r="279" spans="1:29" ht="14.25" customHeight="1" x14ac:dyDescent="0.2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</row>
    <row r="280" spans="1:29" ht="14.25" customHeight="1" x14ac:dyDescent="0.2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</row>
    <row r="281" spans="1:29" ht="14.25" customHeight="1" x14ac:dyDescent="0.2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</row>
    <row r="282" spans="1:29" ht="14.25" customHeight="1" x14ac:dyDescent="0.2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</row>
    <row r="283" spans="1:29" ht="14.25" customHeight="1" x14ac:dyDescent="0.2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</row>
    <row r="284" spans="1:29" ht="14.25" customHeight="1" x14ac:dyDescent="0.2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</row>
    <row r="285" spans="1:29" ht="14.25" customHeight="1" x14ac:dyDescent="0.2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</row>
    <row r="286" spans="1:29" ht="14.25" customHeight="1" x14ac:dyDescent="0.2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</row>
    <row r="287" spans="1:29" ht="14.25" customHeight="1" x14ac:dyDescent="0.2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</row>
    <row r="288" spans="1:29" ht="14.25" customHeight="1" x14ac:dyDescent="0.2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</row>
    <row r="289" spans="1:29" ht="14.25" customHeight="1" x14ac:dyDescent="0.2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</row>
    <row r="290" spans="1:29" ht="14.25" customHeight="1" x14ac:dyDescent="0.2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</row>
    <row r="291" spans="1:29" ht="14.25" customHeight="1" x14ac:dyDescent="0.2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</row>
    <row r="292" spans="1:29" ht="14.25" customHeight="1" x14ac:dyDescent="0.2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</row>
    <row r="293" spans="1:29" ht="14.25" customHeight="1" x14ac:dyDescent="0.2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</row>
    <row r="294" spans="1:29" ht="14.25" customHeight="1" x14ac:dyDescent="0.2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</row>
    <row r="295" spans="1:29" ht="14.25" customHeight="1" x14ac:dyDescent="0.2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</row>
    <row r="296" spans="1:29" ht="14.25" customHeight="1" x14ac:dyDescent="0.2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</row>
    <row r="297" spans="1:29" ht="14.25" customHeight="1" x14ac:dyDescent="0.2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</row>
    <row r="298" spans="1:29" ht="14.25" customHeight="1" x14ac:dyDescent="0.2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</row>
    <row r="299" spans="1:29" ht="14.25" customHeight="1" x14ac:dyDescent="0.2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</row>
    <row r="300" spans="1:29" ht="14.25" customHeight="1" x14ac:dyDescent="0.2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</row>
    <row r="301" spans="1:29" ht="14.25" customHeight="1" x14ac:dyDescent="0.2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</row>
    <row r="302" spans="1:29" ht="14.25" customHeight="1" x14ac:dyDescent="0.2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</row>
    <row r="303" spans="1:29" ht="14.25" customHeight="1" x14ac:dyDescent="0.2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</row>
    <row r="304" spans="1:29" ht="14.25" customHeight="1" x14ac:dyDescent="0.2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</row>
    <row r="305" spans="1:29" ht="14.25" customHeight="1" x14ac:dyDescent="0.2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</row>
    <row r="306" spans="1:29" ht="14.25" customHeight="1" x14ac:dyDescent="0.2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</row>
    <row r="307" spans="1:29" ht="14.25" customHeight="1" x14ac:dyDescent="0.2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</row>
    <row r="308" spans="1:29" ht="14.25" customHeight="1" x14ac:dyDescent="0.2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</row>
    <row r="309" spans="1:29" ht="14.25" customHeight="1" x14ac:dyDescent="0.2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</row>
    <row r="310" spans="1:29" ht="14.25" customHeight="1" x14ac:dyDescent="0.2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</row>
    <row r="311" spans="1:29" ht="14.25" customHeight="1" x14ac:dyDescent="0.2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</row>
    <row r="312" spans="1:29" ht="14.25" customHeight="1" x14ac:dyDescent="0.2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</row>
    <row r="313" spans="1:29" ht="14.25" customHeight="1" x14ac:dyDescent="0.2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</row>
    <row r="314" spans="1:29" ht="14.25" customHeight="1" x14ac:dyDescent="0.2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</row>
    <row r="315" spans="1:29" ht="14.25" customHeight="1" x14ac:dyDescent="0.2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</row>
    <row r="316" spans="1:29" ht="14.25" customHeight="1" x14ac:dyDescent="0.2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</row>
    <row r="317" spans="1:29" ht="14.25" customHeight="1" x14ac:dyDescent="0.2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</row>
    <row r="318" spans="1:29" ht="14.25" customHeight="1" x14ac:dyDescent="0.2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</row>
    <row r="319" spans="1:29" ht="14.25" customHeight="1" x14ac:dyDescent="0.2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</row>
    <row r="320" spans="1:29" ht="14.25" customHeight="1" x14ac:dyDescent="0.2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</row>
    <row r="321" spans="1:29" ht="14.25" customHeight="1" x14ac:dyDescent="0.2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</row>
    <row r="322" spans="1:29" ht="14.25" customHeight="1" x14ac:dyDescent="0.2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</row>
    <row r="323" spans="1:29" ht="14.25" customHeight="1" x14ac:dyDescent="0.2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</row>
    <row r="324" spans="1:29" ht="14.25" customHeight="1" x14ac:dyDescent="0.2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</row>
    <row r="325" spans="1:29" ht="14.25" customHeight="1" x14ac:dyDescent="0.2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</row>
    <row r="326" spans="1:29" ht="14.25" customHeight="1" x14ac:dyDescent="0.2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</row>
    <row r="327" spans="1:29" ht="14.25" customHeight="1" x14ac:dyDescent="0.2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</row>
    <row r="328" spans="1:29" ht="14.25" customHeight="1" x14ac:dyDescent="0.2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</row>
    <row r="329" spans="1:29" ht="14.25" customHeight="1" x14ac:dyDescent="0.2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</row>
    <row r="330" spans="1:29" ht="14.25" customHeight="1" x14ac:dyDescent="0.2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</row>
    <row r="331" spans="1:29" ht="14.25" customHeight="1" x14ac:dyDescent="0.2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</row>
    <row r="332" spans="1:29" ht="14.25" customHeight="1" x14ac:dyDescent="0.2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</row>
    <row r="333" spans="1:29" ht="14.25" customHeight="1" x14ac:dyDescent="0.2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</row>
    <row r="334" spans="1:29" ht="14.25" customHeight="1" x14ac:dyDescent="0.2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</row>
    <row r="335" spans="1:29" ht="14.25" customHeight="1" x14ac:dyDescent="0.2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</row>
    <row r="336" spans="1:29" ht="14.25" customHeight="1" x14ac:dyDescent="0.2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</row>
    <row r="337" spans="1:29" ht="14.25" customHeight="1" x14ac:dyDescent="0.2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</row>
    <row r="338" spans="1:29" ht="14.25" customHeight="1" x14ac:dyDescent="0.2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</row>
    <row r="339" spans="1:29" ht="14.25" customHeight="1" x14ac:dyDescent="0.2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</row>
    <row r="340" spans="1:29" ht="14.25" customHeight="1" x14ac:dyDescent="0.2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</row>
    <row r="341" spans="1:29" ht="14.25" customHeight="1" x14ac:dyDescent="0.2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</row>
    <row r="342" spans="1:29" ht="14.25" customHeight="1" x14ac:dyDescent="0.2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</row>
    <row r="343" spans="1:29" ht="14.25" customHeight="1" x14ac:dyDescent="0.2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</row>
    <row r="344" spans="1:29" ht="14.25" customHeight="1" x14ac:dyDescent="0.2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</row>
    <row r="345" spans="1:29" ht="14.25" customHeight="1" x14ac:dyDescent="0.2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</row>
    <row r="346" spans="1:29" ht="14.25" customHeight="1" x14ac:dyDescent="0.2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</row>
    <row r="347" spans="1:29" ht="14.25" customHeight="1" x14ac:dyDescent="0.2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</row>
    <row r="348" spans="1:29" ht="14.25" customHeight="1" x14ac:dyDescent="0.2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</row>
    <row r="349" spans="1:29" ht="14.25" customHeight="1" x14ac:dyDescent="0.2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</row>
    <row r="350" spans="1:29" ht="14.25" customHeight="1" x14ac:dyDescent="0.2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</row>
    <row r="351" spans="1:29" ht="14.25" customHeight="1" x14ac:dyDescent="0.2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</row>
    <row r="352" spans="1:29" ht="14.25" customHeight="1" x14ac:dyDescent="0.2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</row>
    <row r="353" spans="1:29" ht="14.25" customHeight="1" x14ac:dyDescent="0.2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</row>
    <row r="354" spans="1:29" ht="14.25" customHeight="1" x14ac:dyDescent="0.2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</row>
    <row r="355" spans="1:29" ht="14.25" customHeight="1" x14ac:dyDescent="0.2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</row>
    <row r="356" spans="1:29" ht="14.25" customHeight="1" x14ac:dyDescent="0.2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</row>
    <row r="357" spans="1:29" ht="14.25" customHeight="1" x14ac:dyDescent="0.2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</row>
    <row r="358" spans="1:29" ht="14.25" customHeight="1" x14ac:dyDescent="0.2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</row>
    <row r="359" spans="1:29" ht="14.25" customHeight="1" x14ac:dyDescent="0.2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</row>
    <row r="360" spans="1:29" ht="14.25" customHeight="1" x14ac:dyDescent="0.2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</row>
    <row r="361" spans="1:29" ht="14.25" customHeight="1" x14ac:dyDescent="0.2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</row>
    <row r="362" spans="1:29" ht="14.25" customHeight="1" x14ac:dyDescent="0.2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</row>
    <row r="363" spans="1:29" ht="14.25" customHeight="1" x14ac:dyDescent="0.2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</row>
    <row r="364" spans="1:29" ht="14.25" customHeight="1" x14ac:dyDescent="0.2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</row>
    <row r="365" spans="1:29" ht="14.25" customHeight="1" x14ac:dyDescent="0.2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</row>
    <row r="366" spans="1:29" ht="14.25" customHeight="1" x14ac:dyDescent="0.2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</row>
    <row r="367" spans="1:29" ht="14.25" customHeight="1" x14ac:dyDescent="0.2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</row>
    <row r="368" spans="1:29" ht="14.25" customHeight="1" x14ac:dyDescent="0.2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</row>
    <row r="369" spans="1:29" ht="14.25" customHeight="1" x14ac:dyDescent="0.2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</row>
    <row r="370" spans="1:29" ht="14.25" customHeight="1" x14ac:dyDescent="0.2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</row>
    <row r="371" spans="1:29" ht="14.25" customHeight="1" x14ac:dyDescent="0.2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</row>
    <row r="372" spans="1:29" ht="14.25" customHeight="1" x14ac:dyDescent="0.2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</row>
    <row r="373" spans="1:29" ht="14.25" customHeight="1" x14ac:dyDescent="0.2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</row>
    <row r="374" spans="1:29" ht="14.25" customHeight="1" x14ac:dyDescent="0.2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</row>
    <row r="375" spans="1:29" ht="14.25" customHeight="1" x14ac:dyDescent="0.2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</row>
    <row r="376" spans="1:29" ht="14.25" customHeight="1" x14ac:dyDescent="0.2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</row>
    <row r="377" spans="1:29" ht="14.25" customHeight="1" x14ac:dyDescent="0.2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</row>
    <row r="378" spans="1:29" ht="14.25" customHeight="1" x14ac:dyDescent="0.2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</row>
    <row r="379" spans="1:29" ht="14.25" customHeight="1" x14ac:dyDescent="0.2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</row>
    <row r="380" spans="1:29" ht="14.25" customHeight="1" x14ac:dyDescent="0.2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</row>
    <row r="381" spans="1:29" ht="14.25" customHeight="1" x14ac:dyDescent="0.2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</row>
    <row r="382" spans="1:29" ht="14.25" customHeight="1" x14ac:dyDescent="0.2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</row>
    <row r="383" spans="1:29" ht="14.25" customHeight="1" x14ac:dyDescent="0.2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</row>
    <row r="384" spans="1:29" ht="14.25" customHeight="1" x14ac:dyDescent="0.2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</row>
    <row r="385" spans="1:29" ht="14.25" customHeight="1" x14ac:dyDescent="0.2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</row>
    <row r="386" spans="1:29" ht="14.25" customHeight="1" x14ac:dyDescent="0.2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</row>
    <row r="387" spans="1:29" ht="14.25" customHeight="1" x14ac:dyDescent="0.2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</row>
    <row r="388" spans="1:29" ht="14.25" customHeight="1" x14ac:dyDescent="0.2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</row>
    <row r="389" spans="1:29" ht="14.25" customHeight="1" x14ac:dyDescent="0.2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</row>
    <row r="390" spans="1:29" ht="14.25" customHeight="1" x14ac:dyDescent="0.2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</row>
    <row r="391" spans="1:29" ht="14.25" customHeight="1" x14ac:dyDescent="0.2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</row>
    <row r="392" spans="1:29" ht="14.25" customHeight="1" x14ac:dyDescent="0.2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</row>
    <row r="393" spans="1:29" ht="14.25" customHeight="1" x14ac:dyDescent="0.2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</row>
    <row r="394" spans="1:29" ht="14.25" customHeight="1" x14ac:dyDescent="0.2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</row>
    <row r="395" spans="1:29" ht="14.25" customHeight="1" x14ac:dyDescent="0.2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</row>
    <row r="396" spans="1:29" ht="14.25" customHeight="1" x14ac:dyDescent="0.2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</row>
    <row r="397" spans="1:29" ht="14.25" customHeight="1" x14ac:dyDescent="0.2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</row>
    <row r="398" spans="1:29" ht="14.25" customHeight="1" x14ac:dyDescent="0.2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</row>
    <row r="399" spans="1:29" ht="14.25" customHeight="1" x14ac:dyDescent="0.2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</row>
    <row r="400" spans="1:29" ht="14.25" customHeight="1" x14ac:dyDescent="0.2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</row>
    <row r="401" spans="1:29" ht="14.25" customHeight="1" x14ac:dyDescent="0.2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</row>
    <row r="402" spans="1:29" ht="14.25" customHeight="1" x14ac:dyDescent="0.2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</row>
    <row r="403" spans="1:29" ht="14.25" customHeight="1" x14ac:dyDescent="0.2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</row>
    <row r="404" spans="1:29" ht="14.25" customHeight="1" x14ac:dyDescent="0.2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</row>
    <row r="405" spans="1:29" ht="14.25" customHeight="1" x14ac:dyDescent="0.2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</row>
    <row r="406" spans="1:29" ht="14.25" customHeight="1" x14ac:dyDescent="0.2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</row>
    <row r="407" spans="1:29" ht="14.25" customHeight="1" x14ac:dyDescent="0.2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</row>
    <row r="408" spans="1:29" ht="14.25" customHeight="1" x14ac:dyDescent="0.2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</row>
    <row r="409" spans="1:29" ht="14.25" customHeight="1" x14ac:dyDescent="0.2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</row>
    <row r="410" spans="1:29" ht="14.25" customHeight="1" x14ac:dyDescent="0.2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</row>
    <row r="411" spans="1:29" ht="14.25" customHeight="1" x14ac:dyDescent="0.2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</row>
    <row r="412" spans="1:29" ht="14.25" customHeight="1" x14ac:dyDescent="0.2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</row>
    <row r="413" spans="1:29" ht="14.25" customHeight="1" x14ac:dyDescent="0.2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</row>
    <row r="414" spans="1:29" ht="14.25" customHeight="1" x14ac:dyDescent="0.2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</row>
    <row r="415" spans="1:29" ht="14.25" customHeight="1" x14ac:dyDescent="0.2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</row>
    <row r="416" spans="1:29" ht="14.25" customHeight="1" x14ac:dyDescent="0.2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</row>
    <row r="417" spans="1:29" ht="14.25" customHeight="1" x14ac:dyDescent="0.2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</row>
    <row r="418" spans="1:29" ht="14.25" customHeight="1" x14ac:dyDescent="0.2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</row>
    <row r="419" spans="1:29" ht="14.25" customHeight="1" x14ac:dyDescent="0.2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</row>
    <row r="420" spans="1:29" ht="14.25" customHeight="1" x14ac:dyDescent="0.2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</row>
    <row r="421" spans="1:29" ht="14.25" customHeight="1" x14ac:dyDescent="0.2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</row>
    <row r="422" spans="1:29" ht="14.25" customHeight="1" x14ac:dyDescent="0.2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</row>
    <row r="423" spans="1:29" ht="14.25" customHeight="1" x14ac:dyDescent="0.2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</row>
    <row r="424" spans="1:29" ht="14.25" customHeight="1" x14ac:dyDescent="0.2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</row>
    <row r="425" spans="1:29" ht="14.25" customHeight="1" x14ac:dyDescent="0.2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</row>
    <row r="426" spans="1:29" ht="14.25" customHeight="1" x14ac:dyDescent="0.25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</row>
    <row r="427" spans="1:29" ht="14.25" customHeight="1" x14ac:dyDescent="0.25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</row>
    <row r="428" spans="1:29" ht="14.25" customHeight="1" x14ac:dyDescent="0.25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</row>
    <row r="429" spans="1:29" ht="14.25" customHeight="1" x14ac:dyDescent="0.25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</row>
    <row r="430" spans="1:29" ht="14.25" customHeight="1" x14ac:dyDescent="0.25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</row>
    <row r="431" spans="1:29" ht="14.25" customHeight="1" x14ac:dyDescent="0.25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</row>
    <row r="432" spans="1:29" ht="14.25" customHeight="1" x14ac:dyDescent="0.25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</row>
    <row r="433" spans="1:29" ht="14.25" customHeight="1" x14ac:dyDescent="0.25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</row>
    <row r="434" spans="1:29" ht="14.25" customHeight="1" x14ac:dyDescent="0.25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</row>
    <row r="435" spans="1:29" ht="14.25" customHeight="1" x14ac:dyDescent="0.2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</row>
    <row r="436" spans="1:29" ht="14.25" customHeight="1" x14ac:dyDescent="0.25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</row>
    <row r="437" spans="1:29" ht="14.25" customHeight="1" x14ac:dyDescent="0.25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</row>
    <row r="438" spans="1:29" ht="14.25" customHeight="1" x14ac:dyDescent="0.25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</row>
    <row r="439" spans="1:29" ht="14.25" customHeight="1" x14ac:dyDescent="0.25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</row>
    <row r="440" spans="1:29" ht="14.25" customHeight="1" x14ac:dyDescent="0.25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</row>
    <row r="441" spans="1:29" ht="14.25" customHeight="1" x14ac:dyDescent="0.25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</row>
    <row r="442" spans="1:29" ht="14.25" customHeight="1" x14ac:dyDescent="0.25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</row>
    <row r="443" spans="1:29" ht="14.25" customHeight="1" x14ac:dyDescent="0.25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</row>
    <row r="444" spans="1:29" ht="14.25" customHeight="1" x14ac:dyDescent="0.25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</row>
    <row r="445" spans="1:29" ht="14.25" customHeight="1" x14ac:dyDescent="0.2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</row>
    <row r="446" spans="1:29" ht="14.25" customHeight="1" x14ac:dyDescent="0.25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</row>
    <row r="447" spans="1:29" ht="14.25" customHeight="1" x14ac:dyDescent="0.25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</row>
    <row r="448" spans="1:29" ht="14.25" customHeight="1" x14ac:dyDescent="0.25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</row>
    <row r="449" spans="1:29" ht="14.25" customHeight="1" x14ac:dyDescent="0.25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</row>
    <row r="450" spans="1:29" ht="14.25" customHeight="1" x14ac:dyDescent="0.25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</row>
    <row r="451" spans="1:29" ht="14.25" customHeight="1" x14ac:dyDescent="0.25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</row>
    <row r="452" spans="1:29" ht="14.25" customHeight="1" x14ac:dyDescent="0.25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</row>
    <row r="453" spans="1:29" ht="14.25" customHeight="1" x14ac:dyDescent="0.25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</row>
    <row r="454" spans="1:29" ht="14.25" customHeight="1" x14ac:dyDescent="0.25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</row>
    <row r="455" spans="1:29" ht="14.25" customHeight="1" x14ac:dyDescent="0.2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</row>
    <row r="456" spans="1:29" ht="14.25" customHeight="1" x14ac:dyDescent="0.25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</row>
    <row r="457" spans="1:29" ht="14.25" customHeight="1" x14ac:dyDescent="0.25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</row>
    <row r="458" spans="1:29" ht="14.25" customHeight="1" x14ac:dyDescent="0.25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</row>
    <row r="459" spans="1:29" ht="14.25" customHeight="1" x14ac:dyDescent="0.25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</row>
    <row r="460" spans="1:29" ht="14.25" customHeight="1" x14ac:dyDescent="0.25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</row>
    <row r="461" spans="1:29" ht="14.25" customHeight="1" x14ac:dyDescent="0.25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</row>
    <row r="462" spans="1:29" ht="14.25" customHeight="1" x14ac:dyDescent="0.25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</row>
    <row r="463" spans="1:29" ht="14.25" customHeight="1" x14ac:dyDescent="0.25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</row>
    <row r="464" spans="1:29" ht="14.25" customHeight="1" x14ac:dyDescent="0.25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</row>
    <row r="465" spans="1:29" ht="14.25" customHeight="1" x14ac:dyDescent="0.2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</row>
    <row r="466" spans="1:29" ht="14.25" customHeight="1" x14ac:dyDescent="0.25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</row>
    <row r="467" spans="1:29" ht="14.25" customHeight="1" x14ac:dyDescent="0.25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</row>
    <row r="468" spans="1:29" ht="14.25" customHeight="1" x14ac:dyDescent="0.25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</row>
    <row r="469" spans="1:29" ht="14.25" customHeight="1" x14ac:dyDescent="0.25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</row>
    <row r="470" spans="1:29" ht="14.25" customHeight="1" x14ac:dyDescent="0.25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</row>
    <row r="471" spans="1:29" ht="14.25" customHeight="1" x14ac:dyDescent="0.25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</row>
    <row r="472" spans="1:29" ht="14.25" customHeight="1" x14ac:dyDescent="0.25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</row>
    <row r="473" spans="1:29" ht="14.25" customHeight="1" x14ac:dyDescent="0.25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</row>
    <row r="474" spans="1:29" ht="14.25" customHeight="1" x14ac:dyDescent="0.25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</row>
    <row r="475" spans="1:29" ht="14.25" customHeight="1" x14ac:dyDescent="0.2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</row>
    <row r="476" spans="1:29" ht="14.25" customHeight="1" x14ac:dyDescent="0.25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</row>
    <row r="477" spans="1:29" ht="14.25" customHeight="1" x14ac:dyDescent="0.25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</row>
    <row r="478" spans="1:29" ht="14.25" customHeight="1" x14ac:dyDescent="0.25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</row>
    <row r="479" spans="1:29" ht="14.25" customHeight="1" x14ac:dyDescent="0.25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</row>
    <row r="480" spans="1:29" ht="14.25" customHeight="1" x14ac:dyDescent="0.25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</row>
    <row r="481" spans="1:29" ht="14.25" customHeight="1" x14ac:dyDescent="0.25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</row>
    <row r="482" spans="1:29" ht="14.25" customHeight="1" x14ac:dyDescent="0.25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</row>
    <row r="483" spans="1:29" ht="14.25" customHeight="1" x14ac:dyDescent="0.25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</row>
    <row r="484" spans="1:29" ht="14.25" customHeight="1" x14ac:dyDescent="0.25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</row>
    <row r="485" spans="1:29" ht="14.25" customHeight="1" x14ac:dyDescent="0.2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</row>
    <row r="486" spans="1:29" ht="14.25" customHeight="1" x14ac:dyDescent="0.25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</row>
    <row r="487" spans="1:29" ht="14.25" customHeight="1" x14ac:dyDescent="0.25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</row>
    <row r="488" spans="1:29" ht="14.25" customHeight="1" x14ac:dyDescent="0.25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</row>
    <row r="489" spans="1:29" ht="14.25" customHeight="1" x14ac:dyDescent="0.25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</row>
    <row r="490" spans="1:29" ht="14.25" customHeight="1" x14ac:dyDescent="0.25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</row>
    <row r="491" spans="1:29" ht="14.25" customHeight="1" x14ac:dyDescent="0.25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</row>
    <row r="492" spans="1:29" ht="14.25" customHeight="1" x14ac:dyDescent="0.25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</row>
    <row r="493" spans="1:29" ht="14.25" customHeight="1" x14ac:dyDescent="0.25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</row>
    <row r="494" spans="1:29" ht="14.25" customHeight="1" x14ac:dyDescent="0.25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</row>
    <row r="495" spans="1:29" ht="14.25" customHeight="1" x14ac:dyDescent="0.2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</row>
    <row r="496" spans="1:29" ht="14.25" customHeight="1" x14ac:dyDescent="0.25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</row>
    <row r="497" spans="1:29" ht="14.25" customHeight="1" x14ac:dyDescent="0.25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</row>
    <row r="498" spans="1:29" ht="14.25" customHeight="1" x14ac:dyDescent="0.25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</row>
    <row r="499" spans="1:29" ht="14.25" customHeight="1" x14ac:dyDescent="0.25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</row>
    <row r="500" spans="1:29" ht="14.25" customHeight="1" x14ac:dyDescent="0.25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</row>
    <row r="501" spans="1:29" ht="14.25" customHeight="1" x14ac:dyDescent="0.25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</row>
    <row r="502" spans="1:29" ht="14.25" customHeight="1" x14ac:dyDescent="0.25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</row>
    <row r="503" spans="1:29" ht="14.25" customHeight="1" x14ac:dyDescent="0.25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</row>
    <row r="504" spans="1:29" ht="14.25" customHeight="1" x14ac:dyDescent="0.25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</row>
    <row r="505" spans="1:29" ht="14.25" customHeight="1" x14ac:dyDescent="0.2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</row>
    <row r="506" spans="1:29" ht="14.25" customHeight="1" x14ac:dyDescent="0.25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</row>
    <row r="507" spans="1:29" ht="14.25" customHeight="1" x14ac:dyDescent="0.25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</row>
    <row r="508" spans="1:29" ht="14.25" customHeight="1" x14ac:dyDescent="0.25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</row>
    <row r="509" spans="1:29" ht="14.25" customHeight="1" x14ac:dyDescent="0.25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</row>
    <row r="510" spans="1:29" ht="14.25" customHeight="1" x14ac:dyDescent="0.25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</row>
    <row r="511" spans="1:29" ht="14.25" customHeight="1" x14ac:dyDescent="0.25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</row>
    <row r="512" spans="1:29" ht="14.25" customHeight="1" x14ac:dyDescent="0.25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</row>
    <row r="513" spans="1:29" ht="14.25" customHeight="1" x14ac:dyDescent="0.25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</row>
    <row r="514" spans="1:29" ht="14.25" customHeight="1" x14ac:dyDescent="0.25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</row>
    <row r="515" spans="1:29" ht="14.25" customHeight="1" x14ac:dyDescent="0.2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</row>
    <row r="516" spans="1:29" ht="14.25" customHeight="1" x14ac:dyDescent="0.25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</row>
    <row r="517" spans="1:29" ht="14.25" customHeight="1" x14ac:dyDescent="0.25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</row>
    <row r="518" spans="1:29" ht="14.25" customHeight="1" x14ac:dyDescent="0.25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</row>
    <row r="519" spans="1:29" ht="14.25" customHeight="1" x14ac:dyDescent="0.25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</row>
    <row r="520" spans="1:29" ht="14.25" customHeight="1" x14ac:dyDescent="0.25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</row>
    <row r="521" spans="1:29" ht="14.25" customHeight="1" x14ac:dyDescent="0.25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</row>
    <row r="522" spans="1:29" ht="14.25" customHeight="1" x14ac:dyDescent="0.25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</row>
    <row r="523" spans="1:29" ht="14.25" customHeight="1" x14ac:dyDescent="0.25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</row>
    <row r="524" spans="1:29" ht="14.25" customHeight="1" x14ac:dyDescent="0.25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</row>
    <row r="525" spans="1:29" ht="14.25" customHeight="1" x14ac:dyDescent="0.2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</row>
    <row r="526" spans="1:29" ht="14.25" customHeight="1" x14ac:dyDescent="0.25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</row>
    <row r="527" spans="1:29" ht="14.25" customHeight="1" x14ac:dyDescent="0.25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</row>
    <row r="528" spans="1:29" ht="14.25" customHeight="1" x14ac:dyDescent="0.25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</row>
    <row r="529" spans="1:29" ht="14.25" customHeight="1" x14ac:dyDescent="0.25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</row>
    <row r="530" spans="1:29" ht="14.25" customHeight="1" x14ac:dyDescent="0.25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</row>
    <row r="531" spans="1:29" ht="14.25" customHeight="1" x14ac:dyDescent="0.25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</row>
    <row r="532" spans="1:29" ht="14.25" customHeight="1" x14ac:dyDescent="0.25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</row>
    <row r="533" spans="1:29" ht="14.25" customHeight="1" x14ac:dyDescent="0.25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</row>
    <row r="534" spans="1:29" ht="14.25" customHeight="1" x14ac:dyDescent="0.25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</row>
    <row r="535" spans="1:29" ht="14.25" customHeight="1" x14ac:dyDescent="0.2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</row>
    <row r="536" spans="1:29" ht="14.25" customHeight="1" x14ac:dyDescent="0.25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</row>
    <row r="537" spans="1:29" ht="14.25" customHeight="1" x14ac:dyDescent="0.25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</row>
    <row r="538" spans="1:29" ht="14.25" customHeight="1" x14ac:dyDescent="0.25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</row>
    <row r="539" spans="1:29" ht="14.25" customHeight="1" x14ac:dyDescent="0.25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</row>
    <row r="540" spans="1:29" ht="14.25" customHeight="1" x14ac:dyDescent="0.25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</row>
    <row r="541" spans="1:29" ht="14.25" customHeight="1" x14ac:dyDescent="0.25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</row>
    <row r="542" spans="1:29" ht="14.25" customHeight="1" x14ac:dyDescent="0.25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</row>
    <row r="543" spans="1:29" ht="14.25" customHeight="1" x14ac:dyDescent="0.25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</row>
    <row r="544" spans="1:29" ht="14.25" customHeight="1" x14ac:dyDescent="0.25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</row>
    <row r="545" spans="1:29" ht="14.25" customHeight="1" x14ac:dyDescent="0.2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</row>
    <row r="546" spans="1:29" ht="14.25" customHeight="1" x14ac:dyDescent="0.25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</row>
    <row r="547" spans="1:29" ht="14.25" customHeight="1" x14ac:dyDescent="0.25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</row>
    <row r="548" spans="1:29" ht="14.25" customHeight="1" x14ac:dyDescent="0.25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</row>
    <row r="549" spans="1:29" ht="14.25" customHeight="1" x14ac:dyDescent="0.25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</row>
    <row r="550" spans="1:29" ht="14.25" customHeight="1" x14ac:dyDescent="0.25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</row>
    <row r="551" spans="1:29" ht="14.25" customHeight="1" x14ac:dyDescent="0.25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</row>
    <row r="552" spans="1:29" ht="14.25" customHeight="1" x14ac:dyDescent="0.25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</row>
    <row r="553" spans="1:29" ht="14.25" customHeight="1" x14ac:dyDescent="0.25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</row>
    <row r="554" spans="1:29" ht="14.25" customHeight="1" x14ac:dyDescent="0.25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</row>
    <row r="555" spans="1:29" ht="14.25" customHeight="1" x14ac:dyDescent="0.2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</row>
    <row r="556" spans="1:29" ht="14.25" customHeight="1" x14ac:dyDescent="0.25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</row>
    <row r="557" spans="1:29" ht="14.25" customHeight="1" x14ac:dyDescent="0.25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</row>
    <row r="558" spans="1:29" ht="14.25" customHeight="1" x14ac:dyDescent="0.25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</row>
    <row r="559" spans="1:29" ht="14.25" customHeight="1" x14ac:dyDescent="0.25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</row>
    <row r="560" spans="1:29" ht="14.25" customHeight="1" x14ac:dyDescent="0.25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</row>
    <row r="561" spans="1:29" ht="14.25" customHeight="1" x14ac:dyDescent="0.25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</row>
    <row r="562" spans="1:29" ht="14.25" customHeight="1" x14ac:dyDescent="0.25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</row>
    <row r="563" spans="1:29" ht="14.25" customHeight="1" x14ac:dyDescent="0.25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</row>
    <row r="564" spans="1:29" ht="14.25" customHeight="1" x14ac:dyDescent="0.25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</row>
    <row r="565" spans="1:29" ht="14.25" customHeight="1" x14ac:dyDescent="0.2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</row>
    <row r="566" spans="1:29" ht="14.25" customHeight="1" x14ac:dyDescent="0.25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</row>
    <row r="567" spans="1:29" ht="14.25" customHeight="1" x14ac:dyDescent="0.25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</row>
    <row r="568" spans="1:29" ht="14.25" customHeight="1" x14ac:dyDescent="0.25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</row>
    <row r="569" spans="1:29" ht="14.25" customHeight="1" x14ac:dyDescent="0.25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</row>
    <row r="570" spans="1:29" ht="14.25" customHeight="1" x14ac:dyDescent="0.25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</row>
    <row r="571" spans="1:29" ht="14.25" customHeight="1" x14ac:dyDescent="0.25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</row>
    <row r="572" spans="1:29" ht="14.25" customHeight="1" x14ac:dyDescent="0.25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</row>
    <row r="573" spans="1:29" ht="14.25" customHeight="1" x14ac:dyDescent="0.25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</row>
    <row r="574" spans="1:29" ht="14.25" customHeight="1" x14ac:dyDescent="0.25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</row>
    <row r="575" spans="1:29" ht="14.25" customHeight="1" x14ac:dyDescent="0.2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</row>
    <row r="576" spans="1:29" ht="14.25" customHeight="1" x14ac:dyDescent="0.25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</row>
    <row r="577" spans="1:29" ht="14.25" customHeight="1" x14ac:dyDescent="0.25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</row>
    <row r="578" spans="1:29" ht="14.25" customHeight="1" x14ac:dyDescent="0.25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</row>
    <row r="579" spans="1:29" ht="14.25" customHeight="1" x14ac:dyDescent="0.25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</row>
    <row r="580" spans="1:29" ht="14.25" customHeight="1" x14ac:dyDescent="0.25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</row>
    <row r="581" spans="1:29" ht="14.25" customHeight="1" x14ac:dyDescent="0.25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</row>
    <row r="582" spans="1:29" ht="14.25" customHeight="1" x14ac:dyDescent="0.25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</row>
    <row r="583" spans="1:29" ht="14.25" customHeight="1" x14ac:dyDescent="0.25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</row>
    <row r="584" spans="1:29" ht="14.25" customHeight="1" x14ac:dyDescent="0.25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</row>
    <row r="585" spans="1:29" ht="14.25" customHeight="1" x14ac:dyDescent="0.2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</row>
    <row r="586" spans="1:29" ht="14.25" customHeight="1" x14ac:dyDescent="0.25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</row>
    <row r="587" spans="1:29" ht="14.25" customHeight="1" x14ac:dyDescent="0.25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</row>
    <row r="588" spans="1:29" ht="14.25" customHeight="1" x14ac:dyDescent="0.25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</row>
    <row r="589" spans="1:29" ht="14.25" customHeight="1" x14ac:dyDescent="0.25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</row>
    <row r="590" spans="1:29" ht="14.25" customHeight="1" x14ac:dyDescent="0.25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</row>
    <row r="591" spans="1:29" ht="14.25" customHeight="1" x14ac:dyDescent="0.25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</row>
    <row r="592" spans="1:29" ht="14.25" customHeight="1" x14ac:dyDescent="0.25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</row>
    <row r="593" spans="1:29" ht="14.25" customHeight="1" x14ac:dyDescent="0.25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</row>
    <row r="594" spans="1:29" ht="14.25" customHeight="1" x14ac:dyDescent="0.25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</row>
    <row r="595" spans="1:29" ht="14.25" customHeight="1" x14ac:dyDescent="0.2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</row>
    <row r="596" spans="1:29" ht="14.25" customHeight="1" x14ac:dyDescent="0.25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</row>
    <row r="597" spans="1:29" ht="14.25" customHeight="1" x14ac:dyDescent="0.25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</row>
    <row r="598" spans="1:29" ht="14.25" customHeight="1" x14ac:dyDescent="0.25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</row>
    <row r="599" spans="1:29" ht="14.25" customHeight="1" x14ac:dyDescent="0.25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</row>
    <row r="600" spans="1:29" ht="14.25" customHeight="1" x14ac:dyDescent="0.25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</row>
    <row r="601" spans="1:29" ht="14.25" customHeight="1" x14ac:dyDescent="0.25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</row>
    <row r="602" spans="1:29" ht="14.25" customHeight="1" x14ac:dyDescent="0.25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</row>
    <row r="603" spans="1:29" ht="14.25" customHeight="1" x14ac:dyDescent="0.25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</row>
    <row r="604" spans="1:29" ht="14.25" customHeight="1" x14ac:dyDescent="0.25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</row>
    <row r="605" spans="1:29" ht="14.25" customHeight="1" x14ac:dyDescent="0.2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</row>
    <row r="606" spans="1:29" ht="14.25" customHeight="1" x14ac:dyDescent="0.25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</row>
    <row r="607" spans="1:29" ht="14.25" customHeight="1" x14ac:dyDescent="0.25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</row>
    <row r="608" spans="1:29" ht="14.25" customHeight="1" x14ac:dyDescent="0.25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</row>
    <row r="609" spans="1:29" ht="14.25" customHeight="1" x14ac:dyDescent="0.25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</row>
    <row r="610" spans="1:29" ht="14.25" customHeight="1" x14ac:dyDescent="0.25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</row>
    <row r="611" spans="1:29" ht="14.25" customHeight="1" x14ac:dyDescent="0.25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</row>
    <row r="612" spans="1:29" ht="14.25" customHeight="1" x14ac:dyDescent="0.25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</row>
    <row r="613" spans="1:29" ht="14.25" customHeight="1" x14ac:dyDescent="0.25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</row>
    <row r="614" spans="1:29" ht="14.25" customHeight="1" x14ac:dyDescent="0.25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</row>
    <row r="615" spans="1:29" ht="14.25" customHeight="1" x14ac:dyDescent="0.2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</row>
    <row r="616" spans="1:29" ht="14.25" customHeight="1" x14ac:dyDescent="0.25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</row>
    <row r="617" spans="1:29" ht="14.25" customHeight="1" x14ac:dyDescent="0.25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</row>
    <row r="618" spans="1:29" ht="14.25" customHeight="1" x14ac:dyDescent="0.25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</row>
    <row r="619" spans="1:29" ht="14.25" customHeight="1" x14ac:dyDescent="0.25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</row>
    <row r="620" spans="1:29" ht="14.25" customHeight="1" x14ac:dyDescent="0.25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</row>
    <row r="621" spans="1:29" ht="14.25" customHeight="1" x14ac:dyDescent="0.25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</row>
    <row r="622" spans="1:29" ht="14.25" customHeight="1" x14ac:dyDescent="0.25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</row>
    <row r="623" spans="1:29" ht="14.25" customHeight="1" x14ac:dyDescent="0.25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</row>
    <row r="624" spans="1:29" ht="14.25" customHeight="1" x14ac:dyDescent="0.25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</row>
    <row r="625" spans="1:29" ht="14.25" customHeight="1" x14ac:dyDescent="0.2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</row>
    <row r="626" spans="1:29" ht="14.25" customHeight="1" x14ac:dyDescent="0.25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</row>
    <row r="627" spans="1:29" ht="14.25" customHeight="1" x14ac:dyDescent="0.25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</row>
    <row r="628" spans="1:29" ht="14.25" customHeight="1" x14ac:dyDescent="0.25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</row>
    <row r="629" spans="1:29" ht="14.25" customHeight="1" x14ac:dyDescent="0.25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</row>
    <row r="630" spans="1:29" ht="14.25" customHeight="1" x14ac:dyDescent="0.25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</row>
    <row r="631" spans="1:29" ht="14.25" customHeight="1" x14ac:dyDescent="0.25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</row>
    <row r="632" spans="1:29" ht="14.25" customHeight="1" x14ac:dyDescent="0.25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</row>
    <row r="633" spans="1:29" ht="14.25" customHeight="1" x14ac:dyDescent="0.25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</row>
    <row r="634" spans="1:29" ht="14.25" customHeight="1" x14ac:dyDescent="0.25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</row>
    <row r="635" spans="1:29" ht="14.25" customHeight="1" x14ac:dyDescent="0.25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</row>
    <row r="636" spans="1:29" ht="14.25" customHeight="1" x14ac:dyDescent="0.25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</row>
    <row r="637" spans="1:29" ht="14.25" customHeight="1" x14ac:dyDescent="0.25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</row>
    <row r="638" spans="1:29" ht="14.25" customHeight="1" x14ac:dyDescent="0.25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</row>
    <row r="639" spans="1:29" ht="14.25" customHeight="1" x14ac:dyDescent="0.25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</row>
    <row r="640" spans="1:29" ht="14.25" customHeight="1" x14ac:dyDescent="0.25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</row>
    <row r="641" spans="1:29" ht="14.25" customHeight="1" x14ac:dyDescent="0.25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</row>
    <row r="642" spans="1:29" ht="14.25" customHeight="1" x14ac:dyDescent="0.25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</row>
    <row r="643" spans="1:29" ht="14.25" customHeight="1" x14ac:dyDescent="0.25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</row>
    <row r="644" spans="1:29" ht="14.25" customHeight="1" x14ac:dyDescent="0.25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</row>
    <row r="645" spans="1:29" ht="14.25" customHeight="1" x14ac:dyDescent="0.25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</row>
    <row r="646" spans="1:29" ht="14.25" customHeight="1" x14ac:dyDescent="0.25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</row>
    <row r="647" spans="1:29" ht="14.25" customHeight="1" x14ac:dyDescent="0.25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</row>
    <row r="648" spans="1:29" ht="14.25" customHeight="1" x14ac:dyDescent="0.25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</row>
    <row r="649" spans="1:29" ht="14.25" customHeight="1" x14ac:dyDescent="0.25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</row>
    <row r="650" spans="1:29" ht="14.25" customHeight="1" x14ac:dyDescent="0.25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</row>
    <row r="651" spans="1:29" ht="14.25" customHeight="1" x14ac:dyDescent="0.25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</row>
    <row r="652" spans="1:29" ht="14.25" customHeight="1" x14ac:dyDescent="0.25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</row>
    <row r="653" spans="1:29" ht="14.25" customHeight="1" x14ac:dyDescent="0.25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</row>
    <row r="654" spans="1:29" ht="14.25" customHeight="1" x14ac:dyDescent="0.25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</row>
    <row r="655" spans="1:29" ht="14.25" customHeight="1" x14ac:dyDescent="0.25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</row>
    <row r="656" spans="1:29" ht="14.25" customHeight="1" x14ac:dyDescent="0.25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</row>
    <row r="657" spans="1:29" ht="14.25" customHeight="1" x14ac:dyDescent="0.25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</row>
    <row r="658" spans="1:29" ht="14.25" customHeight="1" x14ac:dyDescent="0.25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</row>
    <row r="659" spans="1:29" ht="14.25" customHeight="1" x14ac:dyDescent="0.25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</row>
    <row r="660" spans="1:29" ht="14.25" customHeight="1" x14ac:dyDescent="0.25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</row>
    <row r="661" spans="1:29" ht="14.25" customHeight="1" x14ac:dyDescent="0.25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</row>
    <row r="662" spans="1:29" ht="14.25" customHeight="1" x14ac:dyDescent="0.25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</row>
    <row r="663" spans="1:29" ht="14.25" customHeight="1" x14ac:dyDescent="0.25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</row>
    <row r="664" spans="1:29" ht="14.25" customHeight="1" x14ac:dyDescent="0.25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</row>
    <row r="665" spans="1:29" ht="14.25" customHeight="1" x14ac:dyDescent="0.25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</row>
    <row r="666" spans="1:29" ht="14.25" customHeight="1" x14ac:dyDescent="0.25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</row>
    <row r="667" spans="1:29" ht="14.25" customHeight="1" x14ac:dyDescent="0.25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</row>
    <row r="668" spans="1:29" ht="14.25" customHeight="1" x14ac:dyDescent="0.25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</row>
    <row r="669" spans="1:29" ht="14.25" customHeight="1" x14ac:dyDescent="0.25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</row>
    <row r="670" spans="1:29" ht="14.25" customHeight="1" x14ac:dyDescent="0.25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</row>
    <row r="671" spans="1:29" ht="14.25" customHeight="1" x14ac:dyDescent="0.25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</row>
    <row r="672" spans="1:29" ht="14.25" customHeight="1" x14ac:dyDescent="0.25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</row>
    <row r="673" spans="1:29" ht="14.25" customHeight="1" x14ac:dyDescent="0.25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</row>
    <row r="674" spans="1:29" ht="14.25" customHeight="1" x14ac:dyDescent="0.25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</row>
    <row r="675" spans="1:29" ht="14.25" customHeight="1" x14ac:dyDescent="0.25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</row>
    <row r="676" spans="1:29" ht="14.25" customHeight="1" x14ac:dyDescent="0.25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</row>
    <row r="677" spans="1:29" ht="14.25" customHeight="1" x14ac:dyDescent="0.25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</row>
    <row r="678" spans="1:29" ht="14.25" customHeight="1" x14ac:dyDescent="0.25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</row>
    <row r="679" spans="1:29" ht="14.25" customHeight="1" x14ac:dyDescent="0.25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</row>
    <row r="680" spans="1:29" ht="14.25" customHeight="1" x14ac:dyDescent="0.25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</row>
    <row r="681" spans="1:29" ht="14.25" customHeight="1" x14ac:dyDescent="0.25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</row>
    <row r="682" spans="1:29" ht="14.25" customHeight="1" x14ac:dyDescent="0.25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</row>
    <row r="683" spans="1:29" ht="14.25" customHeight="1" x14ac:dyDescent="0.25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</row>
    <row r="684" spans="1:29" ht="14.25" customHeight="1" x14ac:dyDescent="0.25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</row>
    <row r="685" spans="1:29" ht="14.25" customHeight="1" x14ac:dyDescent="0.25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</row>
    <row r="686" spans="1:29" ht="14.25" customHeight="1" x14ac:dyDescent="0.25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</row>
    <row r="687" spans="1:29" ht="14.25" customHeight="1" x14ac:dyDescent="0.25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</row>
    <row r="688" spans="1:29" ht="14.25" customHeight="1" x14ac:dyDescent="0.25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</row>
    <row r="689" spans="1:29" ht="14.25" customHeight="1" x14ac:dyDescent="0.25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</row>
    <row r="690" spans="1:29" ht="14.25" customHeight="1" x14ac:dyDescent="0.25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</row>
    <row r="691" spans="1:29" ht="14.25" customHeight="1" x14ac:dyDescent="0.25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</row>
    <row r="692" spans="1:29" ht="14.25" customHeight="1" x14ac:dyDescent="0.25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</row>
    <row r="693" spans="1:29" ht="14.25" customHeight="1" x14ac:dyDescent="0.25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</row>
    <row r="694" spans="1:29" ht="14.25" customHeight="1" x14ac:dyDescent="0.25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</row>
    <row r="695" spans="1:29" ht="14.25" customHeight="1" x14ac:dyDescent="0.25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</row>
    <row r="696" spans="1:29" ht="14.25" customHeight="1" x14ac:dyDescent="0.25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</row>
    <row r="697" spans="1:29" ht="14.25" customHeight="1" x14ac:dyDescent="0.25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</row>
    <row r="698" spans="1:29" ht="14.25" customHeight="1" x14ac:dyDescent="0.25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</row>
    <row r="699" spans="1:29" ht="14.25" customHeight="1" x14ac:dyDescent="0.25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</row>
    <row r="700" spans="1:29" ht="14.25" customHeight="1" x14ac:dyDescent="0.25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</row>
    <row r="701" spans="1:29" ht="14.25" customHeight="1" x14ac:dyDescent="0.25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</row>
    <row r="702" spans="1:29" ht="14.25" customHeight="1" x14ac:dyDescent="0.25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</row>
    <row r="703" spans="1:29" ht="14.25" customHeight="1" x14ac:dyDescent="0.25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</row>
    <row r="704" spans="1:29" ht="14.25" customHeight="1" x14ac:dyDescent="0.25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</row>
    <row r="705" spans="1:29" ht="14.25" customHeight="1" x14ac:dyDescent="0.25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</row>
    <row r="706" spans="1:29" ht="14.25" customHeight="1" x14ac:dyDescent="0.25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</row>
    <row r="707" spans="1:29" ht="14.25" customHeight="1" x14ac:dyDescent="0.25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</row>
    <row r="708" spans="1:29" ht="14.25" customHeight="1" x14ac:dyDescent="0.25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</row>
    <row r="709" spans="1:29" ht="14.25" customHeight="1" x14ac:dyDescent="0.25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</row>
    <row r="710" spans="1:29" ht="14.25" customHeight="1" x14ac:dyDescent="0.25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</row>
    <row r="711" spans="1:29" ht="14.25" customHeight="1" x14ac:dyDescent="0.25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</row>
    <row r="712" spans="1:29" ht="14.25" customHeight="1" x14ac:dyDescent="0.25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</row>
    <row r="713" spans="1:29" ht="14.25" customHeight="1" x14ac:dyDescent="0.25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</row>
    <row r="714" spans="1:29" ht="14.25" customHeight="1" x14ac:dyDescent="0.25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</row>
    <row r="715" spans="1:29" ht="14.25" customHeight="1" x14ac:dyDescent="0.25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</row>
    <row r="716" spans="1:29" ht="14.25" customHeight="1" x14ac:dyDescent="0.25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</row>
    <row r="717" spans="1:29" ht="14.25" customHeight="1" x14ac:dyDescent="0.25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</row>
    <row r="718" spans="1:29" ht="14.25" customHeight="1" x14ac:dyDescent="0.25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</row>
    <row r="719" spans="1:29" ht="14.25" customHeight="1" x14ac:dyDescent="0.25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</row>
    <row r="720" spans="1:29" ht="14.25" customHeight="1" x14ac:dyDescent="0.25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</row>
    <row r="721" spans="1:29" ht="14.25" customHeight="1" x14ac:dyDescent="0.25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</row>
    <row r="722" spans="1:29" ht="14.25" customHeight="1" x14ac:dyDescent="0.25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</row>
    <row r="723" spans="1:29" ht="14.25" customHeight="1" x14ac:dyDescent="0.25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</row>
    <row r="724" spans="1:29" ht="14.25" customHeight="1" x14ac:dyDescent="0.25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</row>
    <row r="725" spans="1:29" ht="14.25" customHeight="1" x14ac:dyDescent="0.25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</row>
    <row r="726" spans="1:29" ht="14.25" customHeight="1" x14ac:dyDescent="0.25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</row>
    <row r="727" spans="1:29" ht="14.25" customHeight="1" x14ac:dyDescent="0.25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</row>
    <row r="728" spans="1:29" ht="14.25" customHeight="1" x14ac:dyDescent="0.25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</row>
    <row r="729" spans="1:29" ht="14.25" customHeight="1" x14ac:dyDescent="0.25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</row>
    <row r="730" spans="1:29" ht="14.25" customHeight="1" x14ac:dyDescent="0.25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</row>
    <row r="731" spans="1:29" ht="14.25" customHeight="1" x14ac:dyDescent="0.25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</row>
    <row r="732" spans="1:29" ht="14.25" customHeight="1" x14ac:dyDescent="0.25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</row>
    <row r="733" spans="1:29" ht="14.25" customHeight="1" x14ac:dyDescent="0.25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</row>
    <row r="734" spans="1:29" ht="14.25" customHeight="1" x14ac:dyDescent="0.25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</row>
    <row r="735" spans="1:29" ht="14.25" customHeight="1" x14ac:dyDescent="0.25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</row>
    <row r="736" spans="1:29" ht="14.25" customHeight="1" x14ac:dyDescent="0.25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</row>
    <row r="737" spans="1:29" ht="14.25" customHeight="1" x14ac:dyDescent="0.25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</row>
    <row r="738" spans="1:29" ht="14.25" customHeight="1" x14ac:dyDescent="0.25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</row>
    <row r="739" spans="1:29" ht="14.25" customHeight="1" x14ac:dyDescent="0.25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</row>
    <row r="740" spans="1:29" ht="14.25" customHeight="1" x14ac:dyDescent="0.25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</row>
    <row r="741" spans="1:29" ht="14.25" customHeight="1" x14ac:dyDescent="0.25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</row>
    <row r="742" spans="1:29" ht="14.25" customHeight="1" x14ac:dyDescent="0.25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</row>
    <row r="743" spans="1:29" ht="14.25" customHeight="1" x14ac:dyDescent="0.25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</row>
    <row r="744" spans="1:29" ht="14.25" customHeight="1" x14ac:dyDescent="0.25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</row>
    <row r="745" spans="1:29" ht="14.25" customHeight="1" x14ac:dyDescent="0.25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</row>
    <row r="746" spans="1:29" ht="14.25" customHeight="1" x14ac:dyDescent="0.25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</row>
    <row r="747" spans="1:29" ht="14.25" customHeight="1" x14ac:dyDescent="0.25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</row>
    <row r="748" spans="1:29" ht="14.25" customHeight="1" x14ac:dyDescent="0.25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</row>
    <row r="749" spans="1:29" ht="14.25" customHeight="1" x14ac:dyDescent="0.25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</row>
    <row r="750" spans="1:29" ht="14.25" customHeight="1" x14ac:dyDescent="0.25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</row>
    <row r="751" spans="1:29" ht="14.25" customHeight="1" x14ac:dyDescent="0.25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</row>
    <row r="752" spans="1:29" ht="14.25" customHeight="1" x14ac:dyDescent="0.25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</row>
    <row r="753" spans="1:29" ht="14.25" customHeight="1" x14ac:dyDescent="0.25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</row>
    <row r="754" spans="1:29" ht="14.25" customHeight="1" x14ac:dyDescent="0.25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</row>
    <row r="755" spans="1:29" ht="14.25" customHeight="1" x14ac:dyDescent="0.25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</row>
    <row r="756" spans="1:29" ht="14.25" customHeight="1" x14ac:dyDescent="0.25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</row>
    <row r="757" spans="1:29" ht="14.25" customHeight="1" x14ac:dyDescent="0.25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</row>
    <row r="758" spans="1:29" ht="14.25" customHeight="1" x14ac:dyDescent="0.25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</row>
    <row r="759" spans="1:29" ht="14.25" customHeight="1" x14ac:dyDescent="0.25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</row>
    <row r="760" spans="1:29" ht="14.25" customHeight="1" x14ac:dyDescent="0.25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</row>
    <row r="761" spans="1:29" ht="14.25" customHeight="1" x14ac:dyDescent="0.25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</row>
    <row r="762" spans="1:29" ht="14.25" customHeight="1" x14ac:dyDescent="0.25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</row>
    <row r="763" spans="1:29" ht="14.25" customHeight="1" x14ac:dyDescent="0.25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</row>
    <row r="764" spans="1:29" ht="14.25" customHeight="1" x14ac:dyDescent="0.25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</row>
    <row r="765" spans="1:29" ht="14.25" customHeight="1" x14ac:dyDescent="0.25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</row>
    <row r="766" spans="1:29" ht="14.25" customHeight="1" x14ac:dyDescent="0.25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</row>
    <row r="767" spans="1:29" ht="14.25" customHeight="1" x14ac:dyDescent="0.25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</row>
    <row r="768" spans="1:29" ht="14.25" customHeight="1" x14ac:dyDescent="0.25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</row>
    <row r="769" spans="1:29" ht="14.25" customHeight="1" x14ac:dyDescent="0.25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</row>
    <row r="770" spans="1:29" ht="14.25" customHeight="1" x14ac:dyDescent="0.25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</row>
    <row r="771" spans="1:29" ht="14.25" customHeight="1" x14ac:dyDescent="0.25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</row>
    <row r="772" spans="1:29" ht="14.25" customHeight="1" x14ac:dyDescent="0.25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</row>
    <row r="773" spans="1:29" ht="14.25" customHeight="1" x14ac:dyDescent="0.25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</row>
    <row r="774" spans="1:29" ht="14.25" customHeight="1" x14ac:dyDescent="0.25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</row>
    <row r="775" spans="1:29" ht="14.25" customHeight="1" x14ac:dyDescent="0.25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</row>
    <row r="776" spans="1:29" ht="14.25" customHeight="1" x14ac:dyDescent="0.25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</row>
    <row r="777" spans="1:29" ht="14.25" customHeight="1" x14ac:dyDescent="0.25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</row>
    <row r="778" spans="1:29" ht="14.25" customHeight="1" x14ac:dyDescent="0.25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</row>
    <row r="779" spans="1:29" ht="14.25" customHeight="1" x14ac:dyDescent="0.25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</row>
    <row r="780" spans="1:29" ht="14.25" customHeight="1" x14ac:dyDescent="0.25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</row>
    <row r="781" spans="1:29" ht="14.25" customHeight="1" x14ac:dyDescent="0.25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</row>
    <row r="782" spans="1:29" ht="14.25" customHeight="1" x14ac:dyDescent="0.25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</row>
    <row r="783" spans="1:29" ht="14.25" customHeight="1" x14ac:dyDescent="0.25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</row>
    <row r="784" spans="1:29" ht="14.25" customHeight="1" x14ac:dyDescent="0.25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</row>
    <row r="785" spans="1:29" ht="14.25" customHeight="1" x14ac:dyDescent="0.25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</row>
    <row r="786" spans="1:29" ht="14.25" customHeight="1" x14ac:dyDescent="0.25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</row>
    <row r="787" spans="1:29" ht="14.25" customHeight="1" x14ac:dyDescent="0.25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</row>
    <row r="788" spans="1:29" ht="14.25" customHeight="1" x14ac:dyDescent="0.25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</row>
    <row r="789" spans="1:29" ht="14.25" customHeight="1" x14ac:dyDescent="0.25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</row>
    <row r="790" spans="1:29" ht="14.25" customHeight="1" x14ac:dyDescent="0.25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</row>
    <row r="791" spans="1:29" ht="14.25" customHeight="1" x14ac:dyDescent="0.25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</row>
    <row r="792" spans="1:29" ht="14.25" customHeight="1" x14ac:dyDescent="0.25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</row>
    <row r="793" spans="1:29" ht="14.25" customHeight="1" x14ac:dyDescent="0.25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</row>
    <row r="794" spans="1:29" ht="14.25" customHeight="1" x14ac:dyDescent="0.25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</row>
    <row r="795" spans="1:29" ht="14.25" customHeight="1" x14ac:dyDescent="0.25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</row>
    <row r="796" spans="1:29" ht="14.25" customHeight="1" x14ac:dyDescent="0.25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</row>
    <row r="797" spans="1:29" ht="14.25" customHeight="1" x14ac:dyDescent="0.25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</row>
    <row r="798" spans="1:29" ht="14.25" customHeight="1" x14ac:dyDescent="0.25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</row>
    <row r="799" spans="1:29" ht="14.25" customHeight="1" x14ac:dyDescent="0.25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</row>
    <row r="800" spans="1:29" ht="14.25" customHeight="1" x14ac:dyDescent="0.25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</row>
    <row r="801" spans="1:29" ht="14.25" customHeight="1" x14ac:dyDescent="0.25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</row>
    <row r="802" spans="1:29" ht="14.25" customHeight="1" x14ac:dyDescent="0.25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</row>
    <row r="803" spans="1:29" ht="14.25" customHeight="1" x14ac:dyDescent="0.25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</row>
    <row r="804" spans="1:29" ht="14.25" customHeight="1" x14ac:dyDescent="0.25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</row>
    <row r="805" spans="1:29" ht="14.25" customHeight="1" x14ac:dyDescent="0.25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</row>
    <row r="806" spans="1:29" ht="14.25" customHeight="1" x14ac:dyDescent="0.25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</row>
    <row r="807" spans="1:29" ht="14.25" customHeight="1" x14ac:dyDescent="0.25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</row>
    <row r="808" spans="1:29" ht="14.25" customHeight="1" x14ac:dyDescent="0.25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</row>
    <row r="809" spans="1:29" ht="14.25" customHeight="1" x14ac:dyDescent="0.25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</row>
    <row r="810" spans="1:29" ht="14.25" customHeight="1" x14ac:dyDescent="0.25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</row>
    <row r="811" spans="1:29" ht="14.25" customHeight="1" x14ac:dyDescent="0.25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</row>
    <row r="812" spans="1:29" ht="14.25" customHeight="1" x14ac:dyDescent="0.25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</row>
    <row r="813" spans="1:29" ht="14.25" customHeight="1" x14ac:dyDescent="0.25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</row>
    <row r="814" spans="1:29" ht="14.25" customHeight="1" x14ac:dyDescent="0.25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</row>
    <row r="815" spans="1:29" ht="14.25" customHeight="1" x14ac:dyDescent="0.25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</row>
    <row r="816" spans="1:29" ht="14.25" customHeight="1" x14ac:dyDescent="0.25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</row>
    <row r="817" spans="1:29" ht="14.25" customHeight="1" x14ac:dyDescent="0.25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</row>
    <row r="818" spans="1:29" ht="14.25" customHeight="1" x14ac:dyDescent="0.25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</row>
    <row r="819" spans="1:29" ht="14.25" customHeight="1" x14ac:dyDescent="0.25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</row>
    <row r="820" spans="1:29" ht="14.25" customHeight="1" x14ac:dyDescent="0.25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</row>
    <row r="821" spans="1:29" ht="14.25" customHeight="1" x14ac:dyDescent="0.25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</row>
    <row r="822" spans="1:29" ht="14.25" customHeight="1" x14ac:dyDescent="0.25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</row>
    <row r="823" spans="1:29" ht="14.25" customHeight="1" x14ac:dyDescent="0.25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</row>
    <row r="824" spans="1:29" ht="14.25" customHeight="1" x14ac:dyDescent="0.25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</row>
    <row r="825" spans="1:29" ht="14.25" customHeight="1" x14ac:dyDescent="0.25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</row>
    <row r="826" spans="1:29" ht="14.25" customHeight="1" x14ac:dyDescent="0.25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</row>
    <row r="827" spans="1:29" ht="14.25" customHeight="1" x14ac:dyDescent="0.25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</row>
    <row r="828" spans="1:29" ht="14.25" customHeight="1" x14ac:dyDescent="0.25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</row>
    <row r="829" spans="1:29" ht="14.25" customHeight="1" x14ac:dyDescent="0.25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</row>
    <row r="830" spans="1:29" ht="14.25" customHeight="1" x14ac:dyDescent="0.25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</row>
    <row r="831" spans="1:29" ht="14.25" customHeight="1" x14ac:dyDescent="0.25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</row>
    <row r="832" spans="1:29" ht="14.25" customHeight="1" x14ac:dyDescent="0.25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</row>
    <row r="833" spans="1:29" ht="14.25" customHeight="1" x14ac:dyDescent="0.25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</row>
    <row r="834" spans="1:29" ht="14.25" customHeight="1" x14ac:dyDescent="0.25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</row>
    <row r="835" spans="1:29" ht="14.25" customHeight="1" x14ac:dyDescent="0.25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</row>
    <row r="836" spans="1:29" ht="14.25" customHeight="1" x14ac:dyDescent="0.25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</row>
    <row r="837" spans="1:29" ht="14.25" customHeight="1" x14ac:dyDescent="0.25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</row>
    <row r="838" spans="1:29" ht="14.25" customHeight="1" x14ac:dyDescent="0.25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</row>
    <row r="839" spans="1:29" ht="14.25" customHeight="1" x14ac:dyDescent="0.25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</row>
    <row r="840" spans="1:29" ht="14.25" customHeight="1" x14ac:dyDescent="0.25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</row>
    <row r="841" spans="1:29" ht="14.25" customHeight="1" x14ac:dyDescent="0.25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</row>
    <row r="842" spans="1:29" ht="14.25" customHeight="1" x14ac:dyDescent="0.25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</row>
    <row r="843" spans="1:29" ht="14.25" customHeight="1" x14ac:dyDescent="0.25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</row>
    <row r="844" spans="1:29" ht="14.25" customHeight="1" x14ac:dyDescent="0.25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</row>
    <row r="845" spans="1:29" ht="14.25" customHeight="1" x14ac:dyDescent="0.25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</row>
    <row r="846" spans="1:29" ht="14.25" customHeight="1" x14ac:dyDescent="0.25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</row>
    <row r="847" spans="1:29" ht="14.25" customHeight="1" x14ac:dyDescent="0.25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</row>
    <row r="848" spans="1:29" ht="14.25" customHeight="1" x14ac:dyDescent="0.25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</row>
    <row r="849" spans="1:29" ht="14.25" customHeight="1" x14ac:dyDescent="0.25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</row>
    <row r="850" spans="1:29" ht="14.25" customHeight="1" x14ac:dyDescent="0.25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</row>
    <row r="851" spans="1:29" ht="14.25" customHeight="1" x14ac:dyDescent="0.25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</row>
    <row r="852" spans="1:29" ht="14.25" customHeight="1" x14ac:dyDescent="0.25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</row>
    <row r="853" spans="1:29" ht="14.25" customHeight="1" x14ac:dyDescent="0.25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</row>
    <row r="854" spans="1:29" ht="14.25" customHeight="1" x14ac:dyDescent="0.25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</row>
    <row r="855" spans="1:29" ht="14.25" customHeight="1" x14ac:dyDescent="0.25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</row>
    <row r="856" spans="1:29" ht="14.25" customHeight="1" x14ac:dyDescent="0.25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</row>
    <row r="857" spans="1:29" ht="14.25" customHeight="1" x14ac:dyDescent="0.25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</row>
    <row r="858" spans="1:29" ht="14.25" customHeight="1" x14ac:dyDescent="0.25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</row>
    <row r="859" spans="1:29" ht="14.25" customHeight="1" x14ac:dyDescent="0.25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</row>
    <row r="860" spans="1:29" ht="14.25" customHeight="1" x14ac:dyDescent="0.25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</row>
    <row r="861" spans="1:29" ht="14.25" customHeight="1" x14ac:dyDescent="0.25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</row>
    <row r="862" spans="1:29" ht="14.25" customHeight="1" x14ac:dyDescent="0.25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</row>
    <row r="863" spans="1:29" ht="14.25" customHeight="1" x14ac:dyDescent="0.25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</row>
    <row r="864" spans="1:29" ht="14.25" customHeight="1" x14ac:dyDescent="0.25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</row>
    <row r="865" spans="1:29" ht="14.25" customHeight="1" x14ac:dyDescent="0.25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</row>
    <row r="866" spans="1:29" ht="14.25" customHeight="1" x14ac:dyDescent="0.25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</row>
    <row r="867" spans="1:29" ht="14.25" customHeight="1" x14ac:dyDescent="0.25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</row>
    <row r="868" spans="1:29" ht="14.25" customHeight="1" x14ac:dyDescent="0.25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</row>
    <row r="869" spans="1:29" ht="14.25" customHeight="1" x14ac:dyDescent="0.25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</row>
    <row r="870" spans="1:29" ht="14.25" customHeight="1" x14ac:dyDescent="0.25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</row>
    <row r="871" spans="1:29" ht="14.25" customHeight="1" x14ac:dyDescent="0.25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</row>
    <row r="872" spans="1:29" ht="14.25" customHeight="1" x14ac:dyDescent="0.25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</row>
    <row r="873" spans="1:29" ht="14.25" customHeight="1" x14ac:dyDescent="0.25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</row>
    <row r="874" spans="1:29" ht="14.25" customHeight="1" x14ac:dyDescent="0.25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</row>
    <row r="875" spans="1:29" ht="14.25" customHeight="1" x14ac:dyDescent="0.25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</row>
    <row r="876" spans="1:29" ht="14.25" customHeight="1" x14ac:dyDescent="0.25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</row>
    <row r="877" spans="1:29" ht="14.25" customHeight="1" x14ac:dyDescent="0.25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</row>
    <row r="878" spans="1:29" ht="14.25" customHeight="1" x14ac:dyDescent="0.25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</row>
    <row r="879" spans="1:29" ht="14.25" customHeight="1" x14ac:dyDescent="0.25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</row>
    <row r="880" spans="1:29" ht="14.25" customHeight="1" x14ac:dyDescent="0.25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</row>
    <row r="881" spans="1:29" ht="14.25" customHeight="1" x14ac:dyDescent="0.25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</row>
    <row r="882" spans="1:29" ht="14.25" customHeight="1" x14ac:dyDescent="0.25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</row>
    <row r="883" spans="1:29" ht="14.25" customHeight="1" x14ac:dyDescent="0.25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</row>
    <row r="884" spans="1:29" ht="14.25" customHeight="1" x14ac:dyDescent="0.25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</row>
    <row r="885" spans="1:29" ht="14.25" customHeight="1" x14ac:dyDescent="0.25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</row>
    <row r="886" spans="1:29" ht="14.25" customHeight="1" x14ac:dyDescent="0.25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</row>
    <row r="887" spans="1:29" ht="14.25" customHeight="1" x14ac:dyDescent="0.25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</row>
    <row r="888" spans="1:29" ht="14.25" customHeight="1" x14ac:dyDescent="0.25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</row>
    <row r="889" spans="1:29" ht="14.25" customHeight="1" x14ac:dyDescent="0.25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</row>
    <row r="890" spans="1:29" ht="14.25" customHeight="1" x14ac:dyDescent="0.25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</row>
    <row r="891" spans="1:29" ht="14.25" customHeight="1" x14ac:dyDescent="0.25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</row>
    <row r="892" spans="1:29" ht="14.25" customHeight="1" x14ac:dyDescent="0.25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</row>
    <row r="893" spans="1:29" ht="14.25" customHeight="1" x14ac:dyDescent="0.25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</row>
    <row r="894" spans="1:29" ht="14.25" customHeight="1" x14ac:dyDescent="0.25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</row>
    <row r="895" spans="1:29" ht="14.25" customHeight="1" x14ac:dyDescent="0.25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</row>
    <row r="896" spans="1:29" ht="14.25" customHeight="1" x14ac:dyDescent="0.25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</row>
    <row r="897" spans="1:29" ht="14.25" customHeight="1" x14ac:dyDescent="0.25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</row>
    <row r="898" spans="1:29" ht="14.25" customHeight="1" x14ac:dyDescent="0.25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</row>
    <row r="899" spans="1:29" ht="14.25" customHeight="1" x14ac:dyDescent="0.25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</row>
    <row r="900" spans="1:29" ht="14.25" customHeight="1" x14ac:dyDescent="0.25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</row>
    <row r="901" spans="1:29" ht="14.25" customHeight="1" x14ac:dyDescent="0.25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</row>
    <row r="902" spans="1:29" ht="14.25" customHeight="1" x14ac:dyDescent="0.25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</row>
    <row r="903" spans="1:29" ht="14.25" customHeight="1" x14ac:dyDescent="0.25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</row>
    <row r="904" spans="1:29" ht="14.25" customHeight="1" x14ac:dyDescent="0.25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</row>
    <row r="905" spans="1:29" ht="14.25" customHeight="1" x14ac:dyDescent="0.25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</row>
    <row r="906" spans="1:29" ht="14.25" customHeight="1" x14ac:dyDescent="0.25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</row>
    <row r="907" spans="1:29" ht="14.25" customHeight="1" x14ac:dyDescent="0.25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</row>
    <row r="908" spans="1:29" ht="14.25" customHeight="1" x14ac:dyDescent="0.25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</row>
    <row r="909" spans="1:29" ht="14.25" customHeight="1" x14ac:dyDescent="0.25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</row>
    <row r="910" spans="1:29" ht="14.25" customHeight="1" x14ac:dyDescent="0.25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</row>
    <row r="911" spans="1:29" ht="14.25" customHeight="1" x14ac:dyDescent="0.25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</row>
    <row r="912" spans="1:29" ht="14.25" customHeight="1" x14ac:dyDescent="0.25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</row>
    <row r="913" spans="1:29" ht="14.25" customHeight="1" x14ac:dyDescent="0.25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</row>
    <row r="914" spans="1:29" ht="14.25" customHeight="1" x14ac:dyDescent="0.25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</row>
    <row r="915" spans="1:29" ht="14.25" customHeight="1" x14ac:dyDescent="0.25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</row>
    <row r="916" spans="1:29" ht="14.25" customHeight="1" x14ac:dyDescent="0.25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</row>
    <row r="917" spans="1:29" ht="14.25" customHeight="1" x14ac:dyDescent="0.25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</row>
    <row r="918" spans="1:29" ht="14.25" customHeight="1" x14ac:dyDescent="0.25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</row>
    <row r="919" spans="1:29" ht="14.25" customHeight="1" x14ac:dyDescent="0.25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</row>
    <row r="920" spans="1:29" ht="14.25" customHeight="1" x14ac:dyDescent="0.25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</row>
    <row r="921" spans="1:29" ht="14.25" customHeight="1" x14ac:dyDescent="0.25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</row>
    <row r="922" spans="1:29" ht="14.25" customHeight="1" x14ac:dyDescent="0.25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</row>
    <row r="923" spans="1:29" ht="14.25" customHeight="1" x14ac:dyDescent="0.25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</row>
    <row r="924" spans="1:29" ht="14.25" customHeight="1" x14ac:dyDescent="0.25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</row>
    <row r="925" spans="1:29" ht="14.25" customHeight="1" x14ac:dyDescent="0.25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</row>
    <row r="926" spans="1:29" ht="14.25" customHeight="1" x14ac:dyDescent="0.25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</row>
    <row r="927" spans="1:29" ht="14.25" customHeight="1" x14ac:dyDescent="0.25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</row>
    <row r="928" spans="1:29" ht="14.25" customHeight="1" x14ac:dyDescent="0.25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</row>
    <row r="929" spans="1:29" ht="14.25" customHeight="1" x14ac:dyDescent="0.25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</row>
    <row r="930" spans="1:29" ht="14.25" customHeight="1" x14ac:dyDescent="0.25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</row>
    <row r="931" spans="1:29" ht="14.25" customHeight="1" x14ac:dyDescent="0.25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</row>
    <row r="932" spans="1:29" ht="14.25" customHeight="1" x14ac:dyDescent="0.25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</row>
    <row r="933" spans="1:29" ht="14.25" customHeight="1" x14ac:dyDescent="0.25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</row>
    <row r="934" spans="1:29" ht="14.25" customHeight="1" x14ac:dyDescent="0.25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</row>
    <row r="935" spans="1:29" ht="14.25" customHeight="1" x14ac:dyDescent="0.25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</row>
    <row r="936" spans="1:29" ht="14.25" customHeight="1" x14ac:dyDescent="0.25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</row>
    <row r="937" spans="1:29" ht="14.25" customHeight="1" x14ac:dyDescent="0.25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</row>
    <row r="938" spans="1:29" ht="14.25" customHeight="1" x14ac:dyDescent="0.25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</row>
    <row r="939" spans="1:29" ht="14.25" customHeight="1" x14ac:dyDescent="0.25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</row>
    <row r="940" spans="1:29" ht="14.25" customHeight="1" x14ac:dyDescent="0.25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</row>
    <row r="941" spans="1:29" ht="14.25" customHeight="1" x14ac:dyDescent="0.25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</row>
    <row r="942" spans="1:29" ht="14.25" customHeight="1" x14ac:dyDescent="0.25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</row>
    <row r="943" spans="1:29" ht="14.25" customHeight="1" x14ac:dyDescent="0.25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</row>
    <row r="944" spans="1:29" ht="14.25" customHeight="1" x14ac:dyDescent="0.25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</row>
    <row r="945" spans="1:29" ht="14.25" customHeight="1" x14ac:dyDescent="0.25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</row>
    <row r="946" spans="1:29" ht="14.25" customHeight="1" x14ac:dyDescent="0.25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</row>
    <row r="947" spans="1:29" ht="14.25" customHeight="1" x14ac:dyDescent="0.25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</row>
    <row r="948" spans="1:29" ht="14.25" customHeight="1" x14ac:dyDescent="0.25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</row>
    <row r="949" spans="1:29" ht="14.25" customHeight="1" x14ac:dyDescent="0.25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</row>
    <row r="950" spans="1:29" ht="14.25" customHeight="1" x14ac:dyDescent="0.25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</row>
    <row r="951" spans="1:29" ht="14.25" customHeight="1" x14ac:dyDescent="0.25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</row>
    <row r="952" spans="1:29" ht="14.25" customHeight="1" x14ac:dyDescent="0.25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</row>
    <row r="953" spans="1:29" ht="14.25" customHeight="1" x14ac:dyDescent="0.25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</row>
    <row r="954" spans="1:29" ht="14.25" customHeight="1" x14ac:dyDescent="0.25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</row>
    <row r="955" spans="1:29" ht="14.25" customHeight="1" x14ac:dyDescent="0.25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</row>
    <row r="956" spans="1:29" ht="14.25" customHeight="1" x14ac:dyDescent="0.25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</row>
    <row r="957" spans="1:29" ht="14.25" customHeight="1" x14ac:dyDescent="0.25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</row>
    <row r="958" spans="1:29" ht="14.25" customHeight="1" x14ac:dyDescent="0.25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</row>
    <row r="959" spans="1:29" ht="14.25" customHeight="1" x14ac:dyDescent="0.25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</row>
    <row r="960" spans="1:29" ht="14.25" customHeight="1" x14ac:dyDescent="0.25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</row>
    <row r="961" spans="1:29" ht="14.25" customHeight="1" x14ac:dyDescent="0.25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</row>
    <row r="962" spans="1:29" ht="14.25" customHeight="1" x14ac:dyDescent="0.25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</row>
    <row r="963" spans="1:29" ht="14.25" customHeight="1" x14ac:dyDescent="0.25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</row>
    <row r="964" spans="1:29" ht="14.25" customHeight="1" x14ac:dyDescent="0.25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</row>
    <row r="965" spans="1:29" ht="14.25" customHeight="1" x14ac:dyDescent="0.25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</row>
    <row r="966" spans="1:29" ht="14.25" customHeight="1" x14ac:dyDescent="0.25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</row>
    <row r="967" spans="1:29" ht="14.25" customHeight="1" x14ac:dyDescent="0.25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</row>
    <row r="968" spans="1:29" ht="14.25" customHeight="1" x14ac:dyDescent="0.25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</row>
    <row r="969" spans="1:29" ht="14.25" customHeight="1" x14ac:dyDescent="0.25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</row>
    <row r="970" spans="1:29" ht="14.25" customHeight="1" x14ac:dyDescent="0.25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</row>
    <row r="971" spans="1:29" ht="14.25" customHeight="1" x14ac:dyDescent="0.25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</row>
    <row r="972" spans="1:29" ht="14.25" customHeight="1" x14ac:dyDescent="0.25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</row>
    <row r="973" spans="1:29" ht="14.25" customHeight="1" x14ac:dyDescent="0.25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</row>
    <row r="974" spans="1:29" ht="14.25" customHeight="1" x14ac:dyDescent="0.25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</row>
    <row r="975" spans="1:29" ht="14.25" customHeight="1" x14ac:dyDescent="0.25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</row>
    <row r="976" spans="1:29" ht="14.25" customHeight="1" x14ac:dyDescent="0.25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</row>
    <row r="977" spans="1:29" ht="14.25" customHeight="1" x14ac:dyDescent="0.25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</row>
    <row r="978" spans="1:29" ht="14.25" customHeight="1" x14ac:dyDescent="0.25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</row>
    <row r="979" spans="1:29" ht="14.25" customHeight="1" x14ac:dyDescent="0.25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</row>
    <row r="980" spans="1:29" ht="14.25" customHeight="1" x14ac:dyDescent="0.25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</row>
    <row r="981" spans="1:29" ht="14.25" customHeight="1" x14ac:dyDescent="0.25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</row>
    <row r="982" spans="1:29" ht="14.25" customHeight="1" x14ac:dyDescent="0.25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</row>
    <row r="983" spans="1:29" ht="14.25" customHeight="1" x14ac:dyDescent="0.25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</row>
    <row r="984" spans="1:29" ht="14.25" customHeight="1" x14ac:dyDescent="0.25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</row>
    <row r="985" spans="1:29" ht="14.25" customHeight="1" x14ac:dyDescent="0.25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</row>
    <row r="986" spans="1:29" ht="14.25" customHeight="1" x14ac:dyDescent="0.25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</row>
    <row r="987" spans="1:29" ht="14.25" customHeight="1" x14ac:dyDescent="0.25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</row>
    <row r="988" spans="1:29" ht="14.25" customHeight="1" x14ac:dyDescent="0.25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</row>
    <row r="989" spans="1:29" ht="14.25" customHeight="1" x14ac:dyDescent="0.25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</row>
    <row r="990" spans="1:29" ht="14.25" customHeight="1" x14ac:dyDescent="0.25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</row>
    <row r="991" spans="1:29" ht="14.25" customHeight="1" x14ac:dyDescent="0.25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</row>
    <row r="992" spans="1:29" ht="14.25" customHeight="1" x14ac:dyDescent="0.25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</row>
    <row r="993" spans="1:29" ht="14.25" customHeight="1" x14ac:dyDescent="0.25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</row>
    <row r="994" spans="1:29" ht="14.25" customHeight="1" x14ac:dyDescent="0.25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</row>
    <row r="995" spans="1:29" ht="14.25" customHeight="1" x14ac:dyDescent="0.25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</row>
    <row r="996" spans="1:29" ht="14.25" customHeight="1" x14ac:dyDescent="0.25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</row>
    <row r="997" spans="1:29" ht="14.25" customHeight="1" x14ac:dyDescent="0.25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</row>
    <row r="998" spans="1:29" ht="14.25" customHeight="1" x14ac:dyDescent="0.25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</row>
    <row r="999" spans="1:29" ht="14.25" customHeight="1" x14ac:dyDescent="0.25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</row>
    <row r="1000" spans="1:29" ht="14.25" customHeight="1" x14ac:dyDescent="0.25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tabColor rgb="FFFFC000"/>
  </sheetPr>
  <dimension ref="A1:U1000"/>
  <sheetViews>
    <sheetView topLeftCell="A2" workbookViewId="0">
      <selection activeCell="A7" sqref="A7"/>
    </sheetView>
  </sheetViews>
  <sheetFormatPr defaultColWidth="14.42578125" defaultRowHeight="15" customHeight="1" x14ac:dyDescent="0.25"/>
  <cols>
    <col min="1" max="1" width="8.85546875" customWidth="1"/>
    <col min="2" max="3" width="23" customWidth="1"/>
    <col min="4" max="21" width="8.85546875" customWidth="1"/>
    <col min="22" max="27" width="10" customWidth="1"/>
  </cols>
  <sheetData>
    <row r="1" spans="1:21" ht="39.75" customHeight="1" x14ac:dyDescent="0.25">
      <c r="A1" s="187" t="s">
        <v>470</v>
      </c>
      <c r="B1" s="235" t="s">
        <v>471</v>
      </c>
      <c r="C1" s="206"/>
      <c r="D1" s="188" t="s">
        <v>471</v>
      </c>
    </row>
    <row r="2" spans="1:21" ht="54.75" customHeight="1" x14ac:dyDescent="0.4">
      <c r="A2" s="154">
        <f>COUNTIF('FALSE CRAWL DATA'!E:E,"&lt;=7/6/2021")</f>
        <v>6</v>
      </c>
      <c r="B2" s="189">
        <v>44348</v>
      </c>
      <c r="C2" s="190">
        <v>44354</v>
      </c>
      <c r="D2" s="160">
        <v>1</v>
      </c>
    </row>
    <row r="3" spans="1:21" ht="41.25" customHeight="1" x14ac:dyDescent="0.4">
      <c r="A3" s="154">
        <f>COUNTIF('FALSE CRAWL DATA'!E:E,"&lt;="&amp;C3)-COUNTIF('FALSE CRAWL DATA'!E:E,"&lt;"&amp;$B3)</f>
        <v>6</v>
      </c>
      <c r="B3" s="189">
        <v>44355</v>
      </c>
      <c r="C3" s="190">
        <v>44361</v>
      </c>
      <c r="D3" s="160">
        <v>2</v>
      </c>
    </row>
    <row r="4" spans="1:21" ht="54.75" customHeight="1" x14ac:dyDescent="0.4">
      <c r="A4" s="154">
        <f>COUNTIF('FALSE CRAWL DATA'!E:E,"&lt;="&amp;C4)-COUNTIF('FALSE CRAWL DATA'!E:E,"&lt;"&amp;$B4)</f>
        <v>20</v>
      </c>
      <c r="B4" s="189">
        <v>44362</v>
      </c>
      <c r="C4" s="190">
        <v>44368</v>
      </c>
      <c r="D4" s="160">
        <v>3</v>
      </c>
      <c r="R4" s="99"/>
      <c r="S4" s="99"/>
      <c r="T4" s="99"/>
      <c r="U4" s="99"/>
    </row>
    <row r="5" spans="1:21" ht="54.75" customHeight="1" x14ac:dyDescent="0.4">
      <c r="A5" s="154">
        <f>COUNTIF('FALSE CRAWL DATA'!E:E,"&lt;="&amp;C5)-COUNTIF('FALSE CRAWL DATA'!E:E,"&lt;"&amp;$B5)</f>
        <v>17</v>
      </c>
      <c r="B5" s="189">
        <v>44369</v>
      </c>
      <c r="C5" s="190">
        <v>44375</v>
      </c>
      <c r="D5" s="160">
        <v>4</v>
      </c>
      <c r="R5" s="99"/>
      <c r="S5" s="67"/>
      <c r="T5" s="99"/>
      <c r="U5" s="99"/>
    </row>
    <row r="6" spans="1:21" ht="41.25" customHeight="1" x14ac:dyDescent="0.4">
      <c r="A6" s="154">
        <f>COUNTIF('FALSE CRAWL DATA'!E:E,"&lt;="&amp;C6)-COUNTIF('FALSE CRAWL DATA'!E:E,"&lt;"&amp;$B6)</f>
        <v>12</v>
      </c>
      <c r="B6" s="189">
        <v>44376</v>
      </c>
      <c r="C6" s="191">
        <v>44382</v>
      </c>
      <c r="D6" s="160">
        <v>5</v>
      </c>
      <c r="R6" s="99"/>
      <c r="S6" s="99"/>
      <c r="T6" s="99"/>
      <c r="U6" s="99"/>
    </row>
    <row r="7" spans="1:21" ht="54.75" customHeight="1" x14ac:dyDescent="0.4">
      <c r="A7" s="154">
        <f>COUNTIF('FALSE CRAWL DATA'!E:E,"&lt;="&amp;C7)-COUNTIF('FALSE CRAWL DATA'!E:E,"&lt;"&amp;$B7)</f>
        <v>5</v>
      </c>
      <c r="B7" s="189">
        <v>44383</v>
      </c>
      <c r="C7" s="190">
        <v>44389</v>
      </c>
      <c r="D7" s="160">
        <v>6</v>
      </c>
      <c r="R7" s="99"/>
      <c r="S7" s="99"/>
      <c r="T7" s="99"/>
      <c r="U7" s="99"/>
    </row>
    <row r="8" spans="1:21" ht="54.75" customHeight="1" x14ac:dyDescent="0.4">
      <c r="A8" s="154">
        <f>COUNTIF('FALSE CRAWL DATA'!E:E,"&lt;="&amp;C8)-COUNTIF('FALSE CRAWL DATA'!E:E,"&lt;"&amp;$B8)</f>
        <v>18</v>
      </c>
      <c r="B8" s="189">
        <v>44390</v>
      </c>
      <c r="C8" s="190">
        <v>44396</v>
      </c>
      <c r="D8" s="160">
        <v>7</v>
      </c>
      <c r="R8" s="99"/>
      <c r="S8" s="99"/>
      <c r="T8" s="99"/>
      <c r="U8" s="99"/>
    </row>
    <row r="9" spans="1:21" ht="54.75" customHeight="1" x14ac:dyDescent="0.4">
      <c r="A9" s="154">
        <f>COUNTIF('FALSE CRAWL DATA'!E:E,"&lt;="&amp;C9)-COUNTIF('FALSE CRAWL DATA'!E:E,"&lt;"&amp;$B9)</f>
        <v>15</v>
      </c>
      <c r="B9" s="189">
        <v>44397</v>
      </c>
      <c r="C9" s="190">
        <v>44403</v>
      </c>
      <c r="D9" s="160">
        <v>8</v>
      </c>
    </row>
    <row r="10" spans="1:21" ht="41.25" customHeight="1" x14ac:dyDescent="0.4">
      <c r="A10" s="154">
        <f>COUNTIF('FALSE CRAWL DATA'!E:E,"&lt;="&amp;C10)-COUNTIF('FALSE CRAWL DATA'!E:E,"&lt;"&amp;$B10)</f>
        <v>2</v>
      </c>
      <c r="B10" s="189">
        <v>44404</v>
      </c>
      <c r="C10" s="190">
        <v>44410</v>
      </c>
      <c r="D10" s="160">
        <v>9</v>
      </c>
    </row>
    <row r="11" spans="1:21" ht="41.25" customHeight="1" x14ac:dyDescent="0.4">
      <c r="A11" s="154">
        <f>COUNTIF('FALSE CRAWL DATA'!E:E,"&lt;="&amp;C11)-COUNTIF('FALSE CRAWL DATA'!E:E,"&lt;"&amp;$B11)</f>
        <v>0</v>
      </c>
      <c r="B11" s="189">
        <v>44411</v>
      </c>
      <c r="C11" s="190">
        <v>44417</v>
      </c>
      <c r="D11" s="160">
        <v>10</v>
      </c>
    </row>
    <row r="12" spans="1:21" ht="54.75" customHeight="1" x14ac:dyDescent="0.4">
      <c r="A12" s="154">
        <f>COUNTIF('FALSE CRAWL DATA'!E:E,"&lt;="&amp;C12)-COUNTIF('FALSE CRAWL DATA'!E:E,"&lt;"&amp;$B12)</f>
        <v>0</v>
      </c>
      <c r="B12" s="189">
        <v>44418</v>
      </c>
      <c r="C12" s="190">
        <v>44424</v>
      </c>
      <c r="D12" s="160">
        <v>11</v>
      </c>
    </row>
    <row r="13" spans="1:21" ht="54.75" customHeight="1" x14ac:dyDescent="0.4">
      <c r="A13" s="154">
        <f>COUNTIF('FALSE CRAWL DATA'!E:E,"&lt;="&amp;C13)-COUNTIF('FALSE CRAWL DATA'!E:E,"&lt;"&amp;$B13)</f>
        <v>0</v>
      </c>
      <c r="B13" s="189">
        <v>44425</v>
      </c>
      <c r="C13" s="190">
        <v>44431</v>
      </c>
      <c r="D13" s="160">
        <v>12</v>
      </c>
    </row>
    <row r="14" spans="1:21" ht="15" customHeight="1" x14ac:dyDescent="0.25">
      <c r="B14" s="192"/>
      <c r="C14" s="188"/>
    </row>
    <row r="15" spans="1:21" ht="14.25" customHeight="1" x14ac:dyDescent="0.25"/>
    <row r="16" spans="1:2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">
    <mergeCell ref="B1:C1"/>
  </mergeCells>
  <pageMargins left="0.7" right="0.7" top="0.75" bottom="0.75" header="0" footer="0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4"/>
  <dimension ref="A1:U1000"/>
  <sheetViews>
    <sheetView workbookViewId="0">
      <selection activeCell="C6" sqref="C6"/>
    </sheetView>
  </sheetViews>
  <sheetFormatPr defaultColWidth="14.42578125" defaultRowHeight="15" customHeight="1" x14ac:dyDescent="0.25"/>
  <cols>
    <col min="1" max="1" width="8.85546875" customWidth="1"/>
    <col min="2" max="2" width="9.140625" customWidth="1"/>
    <col min="3" max="3" width="16.140625" customWidth="1"/>
    <col min="4" max="4" width="13.140625" customWidth="1"/>
    <col min="5" max="21" width="8.85546875" customWidth="1"/>
    <col min="22" max="27" width="10" customWidth="1"/>
  </cols>
  <sheetData>
    <row r="1" spans="1:21" ht="31.5" customHeight="1" x14ac:dyDescent="0.25">
      <c r="A1" s="193" t="s">
        <v>38</v>
      </c>
      <c r="B1" s="194" t="s">
        <v>470</v>
      </c>
      <c r="C1" s="236" t="s">
        <v>471</v>
      </c>
      <c r="D1" s="206"/>
      <c r="E1" s="194" t="s">
        <v>472</v>
      </c>
    </row>
    <row r="2" spans="1:21" ht="21" customHeight="1" x14ac:dyDescent="0.4">
      <c r="A2" s="195">
        <f>COUNTIF('NEST DATA '!F:F,"&lt;="&amp;$D2)</f>
        <v>7</v>
      </c>
      <c r="B2" s="154">
        <f>COUNTIF('FALSE CRAWL DATA'!E:E,"&lt;=7/6/2021")</f>
        <v>6</v>
      </c>
      <c r="C2" s="196">
        <v>44348</v>
      </c>
      <c r="D2" s="190">
        <v>44354</v>
      </c>
      <c r="E2" s="160">
        <v>1</v>
      </c>
      <c r="U2" s="197"/>
    </row>
    <row r="3" spans="1:21" ht="21" customHeight="1" x14ac:dyDescent="0.25">
      <c r="A3" s="195">
        <f>COUNTIF('NEST DATA '!F:F,"&lt;="&amp;$D3)-COUNTIF('NEST DATA '!F:F,"&lt;"&amp;$C3)</f>
        <v>11</v>
      </c>
      <c r="B3" s="198">
        <f>COUNTIF('FALSE CRAWL DATA'!E:E,"&lt;="&amp;$D3)-COUNTIF('FALSE CRAWL DATA'!E:E,"&lt;"&amp;$C3)</f>
        <v>6</v>
      </c>
      <c r="C3" s="196">
        <v>44355</v>
      </c>
      <c r="D3" s="190">
        <v>44361</v>
      </c>
      <c r="E3" s="160">
        <v>2</v>
      </c>
    </row>
    <row r="4" spans="1:21" ht="21" customHeight="1" x14ac:dyDescent="0.25">
      <c r="A4" s="195">
        <f>COUNTIF('NEST DATA '!F:F,"&lt;="&amp;$D4)-COUNTIF('NEST DATA '!F:F,"&lt;"&amp;$C4)</f>
        <v>18</v>
      </c>
      <c r="B4" s="198">
        <f>COUNTIF('FALSE CRAWL DATA'!E:E,"&lt;="&amp;$D4)-COUNTIF('FALSE CRAWL DATA'!E:E,"&lt;"&amp;$C4)</f>
        <v>20</v>
      </c>
      <c r="C4" s="196">
        <v>44362</v>
      </c>
      <c r="D4" s="190">
        <v>44368</v>
      </c>
      <c r="E4" s="160">
        <v>3</v>
      </c>
    </row>
    <row r="5" spans="1:21" ht="21" customHeight="1" x14ac:dyDescent="0.25">
      <c r="A5" s="195">
        <f>COUNTIF('NEST DATA '!F:F,"&lt;="&amp;$D5)-COUNTIF('NEST DATA '!F:F,"&lt;"&amp;$C5)</f>
        <v>24</v>
      </c>
      <c r="B5" s="198">
        <f>COUNTIF('FALSE CRAWL DATA'!E:E,"&lt;="&amp;$D5)-COUNTIF('FALSE CRAWL DATA'!E:E,"&lt;"&amp;$C5)</f>
        <v>17</v>
      </c>
      <c r="C5" s="196">
        <v>44369</v>
      </c>
      <c r="D5" s="190">
        <v>44375</v>
      </c>
      <c r="E5" s="160">
        <v>4</v>
      </c>
    </row>
    <row r="6" spans="1:21" ht="21" customHeight="1" x14ac:dyDescent="0.25">
      <c r="A6" s="195">
        <f>COUNTIF('NEST DATA '!F:F,"&lt;="&amp;$D6)-COUNTIF('NEST DATA '!F:F,"&lt;"&amp;$C6)</f>
        <v>32</v>
      </c>
      <c r="B6" s="198">
        <f>COUNTIF('FALSE CRAWL DATA'!E:E,"&lt;="&amp;$D6)-COUNTIF('FALSE CRAWL DATA'!E:E,"&lt;"&amp;$C6)</f>
        <v>12</v>
      </c>
      <c r="C6" s="196">
        <v>44376</v>
      </c>
      <c r="D6" s="191">
        <v>44382</v>
      </c>
      <c r="E6" s="160">
        <v>5</v>
      </c>
    </row>
    <row r="7" spans="1:21" ht="21" customHeight="1" x14ac:dyDescent="0.25">
      <c r="A7" s="195">
        <f>COUNTIF('NEST DATA '!F:F,"&lt;="&amp;$D7)-COUNTIF('NEST DATA '!F:F,"&lt;"&amp;$C7)</f>
        <v>36</v>
      </c>
      <c r="B7" s="198">
        <f>COUNTIF('FALSE CRAWL DATA'!E:E,"&lt;="&amp;$D7)-COUNTIF('FALSE CRAWL DATA'!E:E,"&lt;"&amp;$C7)</f>
        <v>5</v>
      </c>
      <c r="C7" s="196">
        <v>44383</v>
      </c>
      <c r="D7" s="190">
        <v>44389</v>
      </c>
      <c r="E7" s="160">
        <v>6</v>
      </c>
    </row>
    <row r="8" spans="1:21" ht="21" customHeight="1" x14ac:dyDescent="0.25">
      <c r="A8" s="195">
        <f>COUNTIF('NEST DATA '!F:F,"&lt;="&amp;$D8)-COUNTIF('NEST DATA '!F:F,"&lt;"&amp;$C8)</f>
        <v>45</v>
      </c>
      <c r="B8" s="198">
        <f>COUNTIF('FALSE CRAWL DATA'!E:E,"&lt;="&amp;$D8)-COUNTIF('FALSE CRAWL DATA'!E:E,"&lt;"&amp;$C8)</f>
        <v>18</v>
      </c>
      <c r="C8" s="196">
        <v>44390</v>
      </c>
      <c r="D8" s="190">
        <v>44396</v>
      </c>
      <c r="E8" s="160">
        <v>7</v>
      </c>
    </row>
    <row r="9" spans="1:21" ht="21" customHeight="1" x14ac:dyDescent="0.25">
      <c r="A9" s="195">
        <f>COUNTIF('NEST DATA '!F:F,"&lt;="&amp;$D9)-COUNTIF('NEST DATA '!F:F,"&lt;"&amp;$C9)</f>
        <v>20</v>
      </c>
      <c r="B9" s="198">
        <f>COUNTIF('FALSE CRAWL DATA'!E:E,"&lt;="&amp;$D9)-COUNTIF('FALSE CRAWL DATA'!E:E,"&lt;"&amp;$C9)</f>
        <v>15</v>
      </c>
      <c r="C9" s="196">
        <v>44397</v>
      </c>
      <c r="D9" s="190">
        <v>44403</v>
      </c>
      <c r="E9" s="160">
        <v>8</v>
      </c>
    </row>
    <row r="10" spans="1:21" ht="21" customHeight="1" x14ac:dyDescent="0.25">
      <c r="A10" s="195">
        <f>COUNTIF('NEST DATA '!F:F,"&lt;="&amp;$D10)-COUNTIF('NEST DATA '!F:F,"&lt;"&amp;$C10)</f>
        <v>23</v>
      </c>
      <c r="B10" s="198">
        <f>COUNTIF('FALSE CRAWL DATA'!E:E,"&lt;="&amp;$D10)-COUNTIF('FALSE CRAWL DATA'!E:E,"&lt;"&amp;$C10)</f>
        <v>2</v>
      </c>
      <c r="C10" s="196">
        <v>44404</v>
      </c>
      <c r="D10" s="190">
        <v>44410</v>
      </c>
      <c r="E10" s="160">
        <v>9</v>
      </c>
    </row>
    <row r="11" spans="1:21" ht="21" customHeight="1" x14ac:dyDescent="0.25">
      <c r="A11" s="195">
        <f>COUNTIF('NEST DATA '!F:F,"&lt;="&amp;$D11)-COUNTIF('NEST DATA '!F:F,"&lt;"&amp;$C11)</f>
        <v>3</v>
      </c>
      <c r="B11" s="198">
        <f>COUNTIF('FALSE CRAWL DATA'!E:E,"&lt;="&amp;$D11)-COUNTIF('FALSE CRAWL DATA'!E:E,"&lt;"&amp;$C11)</f>
        <v>0</v>
      </c>
      <c r="C11" s="196">
        <v>44411</v>
      </c>
      <c r="D11" s="190">
        <v>44417</v>
      </c>
      <c r="E11" s="160">
        <v>10</v>
      </c>
    </row>
    <row r="12" spans="1:21" ht="21" customHeight="1" x14ac:dyDescent="0.25">
      <c r="A12" s="195">
        <f>COUNTIF('NEST DATA '!F:F,"&lt;="&amp;$D12)-COUNTIF('NEST DATA '!F:F,"&lt;"&amp;$C12)</f>
        <v>6</v>
      </c>
      <c r="B12" s="198">
        <f>COUNTIF('FALSE CRAWL DATA'!E:E,"&lt;="&amp;$D12)-COUNTIF('FALSE CRAWL DATA'!E:E,"&lt;"&amp;$C12)</f>
        <v>0</v>
      </c>
      <c r="C12" s="196">
        <v>44418</v>
      </c>
      <c r="D12" s="190">
        <v>44424</v>
      </c>
      <c r="E12" s="160">
        <v>11</v>
      </c>
    </row>
    <row r="13" spans="1:21" ht="21" customHeight="1" x14ac:dyDescent="0.25">
      <c r="A13" s="195">
        <f>COUNTIF('NEST DATA '!F:F,"&lt;="&amp;$D13)-COUNTIF('NEST DATA '!F:F,"&lt;"&amp;$C13)</f>
        <v>0</v>
      </c>
      <c r="B13" s="198">
        <f>COUNTIF('FALSE CRAWL DATA'!E:E,"&lt;="&amp;$D13)-COUNTIF('FALSE CRAWL DATA'!E:E,"&lt;"&amp;$C13)</f>
        <v>0</v>
      </c>
      <c r="C13" s="196">
        <v>44425</v>
      </c>
      <c r="D13" s="190">
        <v>44431</v>
      </c>
      <c r="E13" s="160">
        <v>12</v>
      </c>
    </row>
    <row r="14" spans="1:21" ht="14.25" customHeight="1" x14ac:dyDescent="0.25">
      <c r="B14" s="99"/>
    </row>
    <row r="15" spans="1:21" ht="14.25" customHeight="1" x14ac:dyDescent="0.25">
      <c r="B15" s="99"/>
    </row>
    <row r="16" spans="1:21" ht="14.25" customHeight="1" x14ac:dyDescent="0.25">
      <c r="B16" s="99"/>
      <c r="I16" s="237" t="s">
        <v>473</v>
      </c>
      <c r="J16" s="220"/>
      <c r="K16" s="220"/>
      <c r="L16" s="220"/>
      <c r="M16" s="220"/>
      <c r="N16" s="220"/>
    </row>
    <row r="17" spans="2:14" ht="14.25" customHeight="1" x14ac:dyDescent="0.25">
      <c r="B17" s="99"/>
      <c r="I17" s="220"/>
      <c r="J17" s="220"/>
      <c r="K17" s="220"/>
      <c r="L17" s="220"/>
      <c r="M17" s="220"/>
      <c r="N17" s="220"/>
    </row>
    <row r="18" spans="2:14" ht="14.25" customHeight="1" x14ac:dyDescent="0.25">
      <c r="B18" s="99"/>
      <c r="I18" s="220"/>
      <c r="J18" s="220"/>
      <c r="K18" s="220"/>
      <c r="L18" s="220"/>
      <c r="M18" s="220"/>
      <c r="N18" s="220"/>
    </row>
    <row r="19" spans="2:14" ht="14.25" customHeight="1" x14ac:dyDescent="0.25">
      <c r="B19" s="99"/>
      <c r="I19" s="220"/>
      <c r="J19" s="220"/>
      <c r="K19" s="220"/>
      <c r="L19" s="220"/>
      <c r="M19" s="220"/>
      <c r="N19" s="220"/>
    </row>
    <row r="20" spans="2:14" ht="14.25" customHeight="1" x14ac:dyDescent="0.25">
      <c r="B20" s="99"/>
      <c r="I20" s="220"/>
      <c r="J20" s="220"/>
      <c r="K20" s="220"/>
      <c r="L20" s="220"/>
      <c r="M20" s="220"/>
      <c r="N20" s="220"/>
    </row>
    <row r="21" spans="2:14" ht="14.25" customHeight="1" x14ac:dyDescent="0.25">
      <c r="B21" s="99"/>
      <c r="I21" s="220"/>
      <c r="J21" s="220"/>
      <c r="K21" s="220"/>
      <c r="L21" s="220"/>
      <c r="M21" s="220"/>
      <c r="N21" s="220"/>
    </row>
    <row r="22" spans="2:14" ht="14.25" customHeight="1" x14ac:dyDescent="0.25">
      <c r="B22" s="99"/>
      <c r="I22" s="220"/>
      <c r="J22" s="220"/>
      <c r="K22" s="220"/>
      <c r="L22" s="220"/>
      <c r="M22" s="220"/>
      <c r="N22" s="220"/>
    </row>
    <row r="23" spans="2:14" ht="14.25" customHeight="1" x14ac:dyDescent="0.25">
      <c r="B23" s="99"/>
      <c r="I23" s="220"/>
      <c r="J23" s="220"/>
      <c r="K23" s="220"/>
      <c r="L23" s="220"/>
      <c r="M23" s="220"/>
      <c r="N23" s="220"/>
    </row>
    <row r="24" spans="2:14" ht="14.25" customHeight="1" x14ac:dyDescent="0.25">
      <c r="B24" s="99"/>
    </row>
    <row r="25" spans="2:14" ht="14.25" customHeight="1" x14ac:dyDescent="0.25">
      <c r="B25" s="99"/>
      <c r="I25" s="172"/>
      <c r="J25" s="172"/>
      <c r="K25" s="172"/>
      <c r="L25" s="172"/>
      <c r="M25" s="172"/>
      <c r="N25" s="172"/>
    </row>
    <row r="26" spans="2:14" ht="14.25" customHeight="1" x14ac:dyDescent="0.25">
      <c r="B26" s="99"/>
      <c r="I26" s="172"/>
      <c r="J26" s="172"/>
      <c r="K26" s="172"/>
      <c r="L26" s="172"/>
      <c r="M26" s="172"/>
      <c r="N26" s="172"/>
    </row>
    <row r="27" spans="2:14" ht="14.25" customHeight="1" x14ac:dyDescent="0.25">
      <c r="B27" s="99"/>
    </row>
    <row r="28" spans="2:14" ht="14.25" customHeight="1" x14ac:dyDescent="0.25">
      <c r="B28" s="99"/>
    </row>
    <row r="29" spans="2:14" ht="14.25" customHeight="1" x14ac:dyDescent="0.25">
      <c r="B29" s="99"/>
    </row>
    <row r="30" spans="2:14" ht="14.25" customHeight="1" x14ac:dyDescent="0.25">
      <c r="B30" s="99"/>
    </row>
    <row r="31" spans="2:14" ht="14.25" customHeight="1" x14ac:dyDescent="0.25">
      <c r="B31" s="99"/>
    </row>
    <row r="32" spans="2:14" ht="14.25" customHeight="1" x14ac:dyDescent="0.25">
      <c r="B32" s="99"/>
    </row>
    <row r="33" spans="2:2" ht="14.25" customHeight="1" x14ac:dyDescent="0.25">
      <c r="B33" s="99"/>
    </row>
    <row r="34" spans="2:2" ht="14.25" customHeight="1" x14ac:dyDescent="0.25">
      <c r="B34" s="99"/>
    </row>
    <row r="35" spans="2:2" ht="14.25" customHeight="1" x14ac:dyDescent="0.25">
      <c r="B35" s="99"/>
    </row>
    <row r="36" spans="2:2" ht="14.25" customHeight="1" x14ac:dyDescent="0.25">
      <c r="B36" s="99"/>
    </row>
    <row r="37" spans="2:2" ht="14.25" customHeight="1" x14ac:dyDescent="0.25">
      <c r="B37" s="99"/>
    </row>
    <row r="38" spans="2:2" ht="14.25" customHeight="1" x14ac:dyDescent="0.25">
      <c r="B38" s="99"/>
    </row>
    <row r="39" spans="2:2" ht="14.25" customHeight="1" x14ac:dyDescent="0.25">
      <c r="B39" s="99"/>
    </row>
    <row r="40" spans="2:2" ht="14.25" customHeight="1" x14ac:dyDescent="0.25">
      <c r="B40" s="99"/>
    </row>
    <row r="41" spans="2:2" ht="14.25" customHeight="1" x14ac:dyDescent="0.25">
      <c r="B41" s="99"/>
    </row>
    <row r="42" spans="2:2" ht="14.25" customHeight="1" x14ac:dyDescent="0.25">
      <c r="B42" s="99"/>
    </row>
    <row r="43" spans="2:2" ht="14.25" customHeight="1" x14ac:dyDescent="0.25">
      <c r="B43" s="99"/>
    </row>
    <row r="44" spans="2:2" ht="14.25" customHeight="1" x14ac:dyDescent="0.25">
      <c r="B44" s="99"/>
    </row>
    <row r="45" spans="2:2" ht="14.25" customHeight="1" x14ac:dyDescent="0.25">
      <c r="B45" s="99"/>
    </row>
    <row r="46" spans="2:2" ht="14.25" customHeight="1" x14ac:dyDescent="0.25">
      <c r="B46" s="99"/>
    </row>
    <row r="47" spans="2:2" ht="14.25" customHeight="1" x14ac:dyDescent="0.25">
      <c r="B47" s="99"/>
    </row>
    <row r="48" spans="2:2" ht="14.25" customHeight="1" x14ac:dyDescent="0.25">
      <c r="B48" s="99"/>
    </row>
    <row r="49" spans="2:2" ht="14.25" customHeight="1" x14ac:dyDescent="0.25">
      <c r="B49" s="99"/>
    </row>
    <row r="50" spans="2:2" ht="14.25" customHeight="1" x14ac:dyDescent="0.25">
      <c r="B50" s="99"/>
    </row>
    <row r="51" spans="2:2" ht="14.25" customHeight="1" x14ac:dyDescent="0.25">
      <c r="B51" s="99"/>
    </row>
    <row r="52" spans="2:2" ht="14.25" customHeight="1" x14ac:dyDescent="0.25">
      <c r="B52" s="99"/>
    </row>
    <row r="53" spans="2:2" ht="14.25" customHeight="1" x14ac:dyDescent="0.25">
      <c r="B53" s="99"/>
    </row>
    <row r="54" spans="2:2" ht="14.25" customHeight="1" x14ac:dyDescent="0.25">
      <c r="B54" s="99"/>
    </row>
    <row r="55" spans="2:2" ht="14.25" customHeight="1" x14ac:dyDescent="0.25">
      <c r="B55" s="99"/>
    </row>
    <row r="56" spans="2:2" ht="14.25" customHeight="1" x14ac:dyDescent="0.25">
      <c r="B56" s="99"/>
    </row>
    <row r="57" spans="2:2" ht="14.25" customHeight="1" x14ac:dyDescent="0.25">
      <c r="B57" s="99"/>
    </row>
    <row r="58" spans="2:2" ht="14.25" customHeight="1" x14ac:dyDescent="0.25">
      <c r="B58" s="99"/>
    </row>
    <row r="59" spans="2:2" ht="14.25" customHeight="1" x14ac:dyDescent="0.25">
      <c r="B59" s="99"/>
    </row>
    <row r="60" spans="2:2" ht="14.25" customHeight="1" x14ac:dyDescent="0.25">
      <c r="B60" s="99"/>
    </row>
    <row r="61" spans="2:2" ht="14.25" customHeight="1" x14ac:dyDescent="0.25">
      <c r="B61" s="99"/>
    </row>
    <row r="62" spans="2:2" ht="14.25" customHeight="1" x14ac:dyDescent="0.25">
      <c r="B62" s="99"/>
    </row>
    <row r="63" spans="2:2" ht="14.25" customHeight="1" x14ac:dyDescent="0.25">
      <c r="B63" s="99"/>
    </row>
    <row r="64" spans="2:2" ht="14.25" customHeight="1" x14ac:dyDescent="0.25">
      <c r="B64" s="99"/>
    </row>
    <row r="65" spans="2:2" ht="14.25" customHeight="1" x14ac:dyDescent="0.25">
      <c r="B65" s="99"/>
    </row>
    <row r="66" spans="2:2" ht="14.25" customHeight="1" x14ac:dyDescent="0.25">
      <c r="B66" s="99"/>
    </row>
    <row r="67" spans="2:2" ht="14.25" customHeight="1" x14ac:dyDescent="0.25">
      <c r="B67" s="99"/>
    </row>
    <row r="68" spans="2:2" ht="14.25" customHeight="1" x14ac:dyDescent="0.25">
      <c r="B68" s="99"/>
    </row>
    <row r="69" spans="2:2" ht="14.25" customHeight="1" x14ac:dyDescent="0.25">
      <c r="B69" s="99"/>
    </row>
    <row r="70" spans="2:2" ht="14.25" customHeight="1" x14ac:dyDescent="0.25">
      <c r="B70" s="99"/>
    </row>
    <row r="71" spans="2:2" ht="14.25" customHeight="1" x14ac:dyDescent="0.25">
      <c r="B71" s="99"/>
    </row>
    <row r="72" spans="2:2" ht="14.25" customHeight="1" x14ac:dyDescent="0.25">
      <c r="B72" s="99"/>
    </row>
    <row r="73" spans="2:2" ht="14.25" customHeight="1" x14ac:dyDescent="0.25">
      <c r="B73" s="99"/>
    </row>
    <row r="74" spans="2:2" ht="14.25" customHeight="1" x14ac:dyDescent="0.25">
      <c r="B74" s="99"/>
    </row>
    <row r="75" spans="2:2" ht="14.25" customHeight="1" x14ac:dyDescent="0.25">
      <c r="B75" s="99"/>
    </row>
    <row r="76" spans="2:2" ht="14.25" customHeight="1" x14ac:dyDescent="0.25">
      <c r="B76" s="99"/>
    </row>
    <row r="77" spans="2:2" ht="14.25" customHeight="1" x14ac:dyDescent="0.25">
      <c r="B77" s="99"/>
    </row>
    <row r="78" spans="2:2" ht="14.25" customHeight="1" x14ac:dyDescent="0.25">
      <c r="B78" s="99"/>
    </row>
    <row r="79" spans="2:2" ht="14.25" customHeight="1" x14ac:dyDescent="0.25">
      <c r="B79" s="99"/>
    </row>
    <row r="80" spans="2:2" ht="14.25" customHeight="1" x14ac:dyDescent="0.25">
      <c r="B80" s="99"/>
    </row>
    <row r="81" spans="2:2" ht="14.25" customHeight="1" x14ac:dyDescent="0.25">
      <c r="B81" s="99"/>
    </row>
    <row r="82" spans="2:2" ht="14.25" customHeight="1" x14ac:dyDescent="0.25">
      <c r="B82" s="99"/>
    </row>
    <row r="83" spans="2:2" ht="14.25" customHeight="1" x14ac:dyDescent="0.25">
      <c r="B83" s="99"/>
    </row>
    <row r="84" spans="2:2" ht="14.25" customHeight="1" x14ac:dyDescent="0.25">
      <c r="B84" s="99"/>
    </row>
    <row r="85" spans="2:2" ht="14.25" customHeight="1" x14ac:dyDescent="0.25">
      <c r="B85" s="99"/>
    </row>
    <row r="86" spans="2:2" ht="14.25" customHeight="1" x14ac:dyDescent="0.25">
      <c r="B86" s="99"/>
    </row>
    <row r="87" spans="2:2" ht="14.25" customHeight="1" x14ac:dyDescent="0.25">
      <c r="B87" s="99"/>
    </row>
    <row r="88" spans="2:2" ht="14.25" customHeight="1" x14ac:dyDescent="0.25">
      <c r="B88" s="99"/>
    </row>
    <row r="89" spans="2:2" ht="14.25" customHeight="1" x14ac:dyDescent="0.25">
      <c r="B89" s="99"/>
    </row>
    <row r="90" spans="2:2" ht="14.25" customHeight="1" x14ac:dyDescent="0.25">
      <c r="B90" s="99"/>
    </row>
    <row r="91" spans="2:2" ht="14.25" customHeight="1" x14ac:dyDescent="0.25">
      <c r="B91" s="99"/>
    </row>
    <row r="92" spans="2:2" ht="14.25" customHeight="1" x14ac:dyDescent="0.25">
      <c r="B92" s="99"/>
    </row>
    <row r="93" spans="2:2" ht="14.25" customHeight="1" x14ac:dyDescent="0.25">
      <c r="B93" s="99"/>
    </row>
    <row r="94" spans="2:2" ht="14.25" customHeight="1" x14ac:dyDescent="0.25">
      <c r="B94" s="99"/>
    </row>
    <row r="95" spans="2:2" ht="14.25" customHeight="1" x14ac:dyDescent="0.25">
      <c r="B95" s="99"/>
    </row>
    <row r="96" spans="2:2" ht="14.25" customHeight="1" x14ac:dyDescent="0.25">
      <c r="B96" s="99"/>
    </row>
    <row r="97" spans="2:2" ht="14.25" customHeight="1" x14ac:dyDescent="0.25">
      <c r="B97" s="99"/>
    </row>
    <row r="98" spans="2:2" ht="14.25" customHeight="1" x14ac:dyDescent="0.25">
      <c r="B98" s="99"/>
    </row>
    <row r="99" spans="2:2" ht="14.25" customHeight="1" x14ac:dyDescent="0.25">
      <c r="B99" s="99"/>
    </row>
    <row r="100" spans="2:2" ht="14.25" customHeight="1" x14ac:dyDescent="0.25">
      <c r="B100" s="99"/>
    </row>
    <row r="101" spans="2:2" ht="14.25" customHeight="1" x14ac:dyDescent="0.25">
      <c r="B101" s="99"/>
    </row>
    <row r="102" spans="2:2" ht="14.25" customHeight="1" x14ac:dyDescent="0.25">
      <c r="B102" s="99"/>
    </row>
    <row r="103" spans="2:2" ht="14.25" customHeight="1" x14ac:dyDescent="0.25">
      <c r="B103" s="99"/>
    </row>
    <row r="104" spans="2:2" ht="14.25" customHeight="1" x14ac:dyDescent="0.25">
      <c r="B104" s="99"/>
    </row>
    <row r="105" spans="2:2" ht="14.25" customHeight="1" x14ac:dyDescent="0.25">
      <c r="B105" s="99"/>
    </row>
    <row r="106" spans="2:2" ht="14.25" customHeight="1" x14ac:dyDescent="0.25">
      <c r="B106" s="99"/>
    </row>
    <row r="107" spans="2:2" ht="14.25" customHeight="1" x14ac:dyDescent="0.25">
      <c r="B107" s="99"/>
    </row>
    <row r="108" spans="2:2" ht="14.25" customHeight="1" x14ac:dyDescent="0.25">
      <c r="B108" s="99"/>
    </row>
    <row r="109" spans="2:2" ht="14.25" customHeight="1" x14ac:dyDescent="0.25">
      <c r="B109" s="99"/>
    </row>
    <row r="110" spans="2:2" ht="14.25" customHeight="1" x14ac:dyDescent="0.25">
      <c r="B110" s="99"/>
    </row>
    <row r="111" spans="2:2" ht="14.25" customHeight="1" x14ac:dyDescent="0.25">
      <c r="B111" s="99"/>
    </row>
    <row r="112" spans="2:2" ht="14.25" customHeight="1" x14ac:dyDescent="0.25">
      <c r="B112" s="99"/>
    </row>
    <row r="113" spans="2:2" ht="14.25" customHeight="1" x14ac:dyDescent="0.25">
      <c r="B113" s="99"/>
    </row>
    <row r="114" spans="2:2" ht="14.25" customHeight="1" x14ac:dyDescent="0.25">
      <c r="B114" s="99"/>
    </row>
    <row r="115" spans="2:2" ht="14.25" customHeight="1" x14ac:dyDescent="0.25">
      <c r="B115" s="99"/>
    </row>
    <row r="116" spans="2:2" ht="14.25" customHeight="1" x14ac:dyDescent="0.25">
      <c r="B116" s="99"/>
    </row>
    <row r="117" spans="2:2" ht="14.25" customHeight="1" x14ac:dyDescent="0.25">
      <c r="B117" s="99"/>
    </row>
    <row r="118" spans="2:2" ht="14.25" customHeight="1" x14ac:dyDescent="0.25">
      <c r="B118" s="99"/>
    </row>
    <row r="119" spans="2:2" ht="14.25" customHeight="1" x14ac:dyDescent="0.25">
      <c r="B119" s="99"/>
    </row>
    <row r="120" spans="2:2" ht="14.25" customHeight="1" x14ac:dyDescent="0.25">
      <c r="B120" s="99"/>
    </row>
    <row r="121" spans="2:2" ht="14.25" customHeight="1" x14ac:dyDescent="0.25">
      <c r="B121" s="99"/>
    </row>
    <row r="122" spans="2:2" ht="14.25" customHeight="1" x14ac:dyDescent="0.25">
      <c r="B122" s="99"/>
    </row>
    <row r="123" spans="2:2" ht="14.25" customHeight="1" x14ac:dyDescent="0.25">
      <c r="B123" s="99"/>
    </row>
    <row r="124" spans="2:2" ht="14.25" customHeight="1" x14ac:dyDescent="0.25">
      <c r="B124" s="99"/>
    </row>
    <row r="125" spans="2:2" ht="14.25" customHeight="1" x14ac:dyDescent="0.25">
      <c r="B125" s="99"/>
    </row>
    <row r="126" spans="2:2" ht="14.25" customHeight="1" x14ac:dyDescent="0.25">
      <c r="B126" s="99"/>
    </row>
    <row r="127" spans="2:2" ht="14.25" customHeight="1" x14ac:dyDescent="0.25">
      <c r="B127" s="99"/>
    </row>
    <row r="128" spans="2:2" ht="14.25" customHeight="1" x14ac:dyDescent="0.25">
      <c r="B128" s="99"/>
    </row>
    <row r="129" spans="2:2" ht="14.25" customHeight="1" x14ac:dyDescent="0.25">
      <c r="B129" s="99"/>
    </row>
    <row r="130" spans="2:2" ht="14.25" customHeight="1" x14ac:dyDescent="0.25">
      <c r="B130" s="99"/>
    </row>
    <row r="131" spans="2:2" ht="14.25" customHeight="1" x14ac:dyDescent="0.25">
      <c r="B131" s="99"/>
    </row>
    <row r="132" spans="2:2" ht="14.25" customHeight="1" x14ac:dyDescent="0.25">
      <c r="B132" s="99"/>
    </row>
    <row r="133" spans="2:2" ht="14.25" customHeight="1" x14ac:dyDescent="0.25">
      <c r="B133" s="99"/>
    </row>
    <row r="134" spans="2:2" ht="14.25" customHeight="1" x14ac:dyDescent="0.25">
      <c r="B134" s="99"/>
    </row>
    <row r="135" spans="2:2" ht="14.25" customHeight="1" x14ac:dyDescent="0.25">
      <c r="B135" s="99"/>
    </row>
    <row r="136" spans="2:2" ht="14.25" customHeight="1" x14ac:dyDescent="0.25">
      <c r="B136" s="99"/>
    </row>
    <row r="137" spans="2:2" ht="14.25" customHeight="1" x14ac:dyDescent="0.25">
      <c r="B137" s="99"/>
    </row>
    <row r="138" spans="2:2" ht="14.25" customHeight="1" x14ac:dyDescent="0.25">
      <c r="B138" s="99"/>
    </row>
    <row r="139" spans="2:2" ht="14.25" customHeight="1" x14ac:dyDescent="0.25">
      <c r="B139" s="99"/>
    </row>
    <row r="140" spans="2:2" ht="14.25" customHeight="1" x14ac:dyDescent="0.25">
      <c r="B140" s="99"/>
    </row>
    <row r="141" spans="2:2" ht="14.25" customHeight="1" x14ac:dyDescent="0.25">
      <c r="B141" s="99"/>
    </row>
    <row r="142" spans="2:2" ht="14.25" customHeight="1" x14ac:dyDescent="0.25">
      <c r="B142" s="99"/>
    </row>
    <row r="143" spans="2:2" ht="14.25" customHeight="1" x14ac:dyDescent="0.25">
      <c r="B143" s="99"/>
    </row>
    <row r="144" spans="2:2" ht="14.25" customHeight="1" x14ac:dyDescent="0.25">
      <c r="B144" s="99"/>
    </row>
    <row r="145" spans="2:2" ht="14.25" customHeight="1" x14ac:dyDescent="0.25">
      <c r="B145" s="99"/>
    </row>
    <row r="146" spans="2:2" ht="14.25" customHeight="1" x14ac:dyDescent="0.25">
      <c r="B146" s="99"/>
    </row>
    <row r="147" spans="2:2" ht="14.25" customHeight="1" x14ac:dyDescent="0.25">
      <c r="B147" s="99"/>
    </row>
    <row r="148" spans="2:2" ht="14.25" customHeight="1" x14ac:dyDescent="0.25">
      <c r="B148" s="99"/>
    </row>
    <row r="149" spans="2:2" ht="14.25" customHeight="1" x14ac:dyDescent="0.25">
      <c r="B149" s="99"/>
    </row>
    <row r="150" spans="2:2" ht="14.25" customHeight="1" x14ac:dyDescent="0.25">
      <c r="B150" s="99"/>
    </row>
    <row r="151" spans="2:2" ht="14.25" customHeight="1" x14ac:dyDescent="0.25">
      <c r="B151" s="99"/>
    </row>
    <row r="152" spans="2:2" ht="14.25" customHeight="1" x14ac:dyDescent="0.25">
      <c r="B152" s="99"/>
    </row>
    <row r="153" spans="2:2" ht="14.25" customHeight="1" x14ac:dyDescent="0.25">
      <c r="B153" s="99"/>
    </row>
    <row r="154" spans="2:2" ht="14.25" customHeight="1" x14ac:dyDescent="0.25">
      <c r="B154" s="99"/>
    </row>
    <row r="155" spans="2:2" ht="14.25" customHeight="1" x14ac:dyDescent="0.25">
      <c r="B155" s="99"/>
    </row>
    <row r="156" spans="2:2" ht="14.25" customHeight="1" x14ac:dyDescent="0.25">
      <c r="B156" s="99"/>
    </row>
    <row r="157" spans="2:2" ht="14.25" customHeight="1" x14ac:dyDescent="0.25">
      <c r="B157" s="99"/>
    </row>
    <row r="158" spans="2:2" ht="14.25" customHeight="1" x14ac:dyDescent="0.25">
      <c r="B158" s="99"/>
    </row>
    <row r="159" spans="2:2" ht="14.25" customHeight="1" x14ac:dyDescent="0.25">
      <c r="B159" s="99"/>
    </row>
    <row r="160" spans="2:2" ht="14.25" customHeight="1" x14ac:dyDescent="0.25">
      <c r="B160" s="99"/>
    </row>
    <row r="161" spans="2:2" ht="14.25" customHeight="1" x14ac:dyDescent="0.25">
      <c r="B161" s="99"/>
    </row>
    <row r="162" spans="2:2" ht="14.25" customHeight="1" x14ac:dyDescent="0.25">
      <c r="B162" s="99"/>
    </row>
    <row r="163" spans="2:2" ht="14.25" customHeight="1" x14ac:dyDescent="0.25">
      <c r="B163" s="99"/>
    </row>
    <row r="164" spans="2:2" ht="14.25" customHeight="1" x14ac:dyDescent="0.25">
      <c r="B164" s="99"/>
    </row>
    <row r="165" spans="2:2" ht="14.25" customHeight="1" x14ac:dyDescent="0.25">
      <c r="B165" s="99"/>
    </row>
    <row r="166" spans="2:2" ht="14.25" customHeight="1" x14ac:dyDescent="0.25">
      <c r="B166" s="99"/>
    </row>
    <row r="167" spans="2:2" ht="14.25" customHeight="1" x14ac:dyDescent="0.25">
      <c r="B167" s="99"/>
    </row>
    <row r="168" spans="2:2" ht="14.25" customHeight="1" x14ac:dyDescent="0.25">
      <c r="B168" s="99"/>
    </row>
    <row r="169" spans="2:2" ht="14.25" customHeight="1" x14ac:dyDescent="0.25">
      <c r="B169" s="99"/>
    </row>
    <row r="170" spans="2:2" ht="14.25" customHeight="1" x14ac:dyDescent="0.25">
      <c r="B170" s="99"/>
    </row>
    <row r="171" spans="2:2" ht="14.25" customHeight="1" x14ac:dyDescent="0.25">
      <c r="B171" s="99"/>
    </row>
    <row r="172" spans="2:2" ht="14.25" customHeight="1" x14ac:dyDescent="0.25">
      <c r="B172" s="99"/>
    </row>
    <row r="173" spans="2:2" ht="14.25" customHeight="1" x14ac:dyDescent="0.25">
      <c r="B173" s="99"/>
    </row>
    <row r="174" spans="2:2" ht="14.25" customHeight="1" x14ac:dyDescent="0.25">
      <c r="B174" s="99"/>
    </row>
    <row r="175" spans="2:2" ht="14.25" customHeight="1" x14ac:dyDescent="0.25">
      <c r="B175" s="99"/>
    </row>
    <row r="176" spans="2:2" ht="14.25" customHeight="1" x14ac:dyDescent="0.25">
      <c r="B176" s="99"/>
    </row>
    <row r="177" spans="2:2" ht="14.25" customHeight="1" x14ac:dyDescent="0.25">
      <c r="B177" s="99"/>
    </row>
    <row r="178" spans="2:2" ht="14.25" customHeight="1" x14ac:dyDescent="0.25">
      <c r="B178" s="99"/>
    </row>
    <row r="179" spans="2:2" ht="14.25" customHeight="1" x14ac:dyDescent="0.25">
      <c r="B179" s="99"/>
    </row>
    <row r="180" spans="2:2" ht="14.25" customHeight="1" x14ac:dyDescent="0.25">
      <c r="B180" s="99"/>
    </row>
    <row r="181" spans="2:2" ht="14.25" customHeight="1" x14ac:dyDescent="0.25">
      <c r="B181" s="99"/>
    </row>
    <row r="182" spans="2:2" ht="14.25" customHeight="1" x14ac:dyDescent="0.25">
      <c r="B182" s="99"/>
    </row>
    <row r="183" spans="2:2" ht="14.25" customHeight="1" x14ac:dyDescent="0.25">
      <c r="B183" s="99"/>
    </row>
    <row r="184" spans="2:2" ht="14.25" customHeight="1" x14ac:dyDescent="0.25">
      <c r="B184" s="99"/>
    </row>
    <row r="185" spans="2:2" ht="14.25" customHeight="1" x14ac:dyDescent="0.25">
      <c r="B185" s="99"/>
    </row>
    <row r="186" spans="2:2" ht="14.25" customHeight="1" x14ac:dyDescent="0.25">
      <c r="B186" s="99"/>
    </row>
    <row r="187" spans="2:2" ht="14.25" customHeight="1" x14ac:dyDescent="0.25">
      <c r="B187" s="99"/>
    </row>
    <row r="188" spans="2:2" ht="14.25" customHeight="1" x14ac:dyDescent="0.25">
      <c r="B188" s="99"/>
    </row>
    <row r="189" spans="2:2" ht="14.25" customHeight="1" x14ac:dyDescent="0.25">
      <c r="B189" s="99"/>
    </row>
    <row r="190" spans="2:2" ht="14.25" customHeight="1" x14ac:dyDescent="0.25">
      <c r="B190" s="99"/>
    </row>
    <row r="191" spans="2:2" ht="14.25" customHeight="1" x14ac:dyDescent="0.25">
      <c r="B191" s="99"/>
    </row>
    <row r="192" spans="2:2" ht="14.25" customHeight="1" x14ac:dyDescent="0.25">
      <c r="B192" s="99"/>
    </row>
    <row r="193" spans="2:2" ht="14.25" customHeight="1" x14ac:dyDescent="0.25">
      <c r="B193" s="99"/>
    </row>
    <row r="194" spans="2:2" ht="14.25" customHeight="1" x14ac:dyDescent="0.25">
      <c r="B194" s="99"/>
    </row>
    <row r="195" spans="2:2" ht="14.25" customHeight="1" x14ac:dyDescent="0.25">
      <c r="B195" s="99"/>
    </row>
    <row r="196" spans="2:2" ht="14.25" customHeight="1" x14ac:dyDescent="0.25">
      <c r="B196" s="99"/>
    </row>
    <row r="197" spans="2:2" ht="14.25" customHeight="1" x14ac:dyDescent="0.25">
      <c r="B197" s="99"/>
    </row>
    <row r="198" spans="2:2" ht="14.25" customHeight="1" x14ac:dyDescent="0.25">
      <c r="B198" s="99"/>
    </row>
    <row r="199" spans="2:2" ht="14.25" customHeight="1" x14ac:dyDescent="0.25">
      <c r="B199" s="99"/>
    </row>
    <row r="200" spans="2:2" ht="14.25" customHeight="1" x14ac:dyDescent="0.25">
      <c r="B200" s="99"/>
    </row>
    <row r="201" spans="2:2" ht="14.25" customHeight="1" x14ac:dyDescent="0.25">
      <c r="B201" s="99"/>
    </row>
    <row r="202" spans="2:2" ht="14.25" customHeight="1" x14ac:dyDescent="0.25">
      <c r="B202" s="99"/>
    </row>
    <row r="203" spans="2:2" ht="14.25" customHeight="1" x14ac:dyDescent="0.25">
      <c r="B203" s="99"/>
    </row>
    <row r="204" spans="2:2" ht="14.25" customHeight="1" x14ac:dyDescent="0.25">
      <c r="B204" s="99"/>
    </row>
    <row r="205" spans="2:2" ht="14.25" customHeight="1" x14ac:dyDescent="0.25">
      <c r="B205" s="99"/>
    </row>
    <row r="206" spans="2:2" ht="14.25" customHeight="1" x14ac:dyDescent="0.25">
      <c r="B206" s="99"/>
    </row>
    <row r="207" spans="2:2" ht="14.25" customHeight="1" x14ac:dyDescent="0.25">
      <c r="B207" s="99"/>
    </row>
    <row r="208" spans="2:2" ht="14.25" customHeight="1" x14ac:dyDescent="0.25">
      <c r="B208" s="99"/>
    </row>
    <row r="209" spans="2:2" ht="14.25" customHeight="1" x14ac:dyDescent="0.25">
      <c r="B209" s="99"/>
    </row>
    <row r="210" spans="2:2" ht="14.25" customHeight="1" x14ac:dyDescent="0.25">
      <c r="B210" s="99"/>
    </row>
    <row r="211" spans="2:2" ht="14.25" customHeight="1" x14ac:dyDescent="0.25">
      <c r="B211" s="99"/>
    </row>
    <row r="212" spans="2:2" ht="14.25" customHeight="1" x14ac:dyDescent="0.25">
      <c r="B212" s="99"/>
    </row>
    <row r="213" spans="2:2" ht="14.25" customHeight="1" x14ac:dyDescent="0.25">
      <c r="B213" s="99"/>
    </row>
    <row r="214" spans="2:2" ht="14.25" customHeight="1" x14ac:dyDescent="0.25">
      <c r="B214" s="99"/>
    </row>
    <row r="215" spans="2:2" ht="14.25" customHeight="1" x14ac:dyDescent="0.25">
      <c r="B215" s="99"/>
    </row>
    <row r="216" spans="2:2" ht="14.25" customHeight="1" x14ac:dyDescent="0.25">
      <c r="B216" s="99"/>
    </row>
    <row r="217" spans="2:2" ht="14.25" customHeight="1" x14ac:dyDescent="0.25">
      <c r="B217" s="99"/>
    </row>
    <row r="218" spans="2:2" ht="14.25" customHeight="1" x14ac:dyDescent="0.25">
      <c r="B218" s="99"/>
    </row>
    <row r="219" spans="2:2" ht="14.25" customHeight="1" x14ac:dyDescent="0.25">
      <c r="B219" s="99"/>
    </row>
    <row r="220" spans="2:2" ht="14.25" customHeight="1" x14ac:dyDescent="0.25">
      <c r="B220" s="99"/>
    </row>
    <row r="221" spans="2:2" ht="14.25" customHeight="1" x14ac:dyDescent="0.25">
      <c r="B221" s="99"/>
    </row>
    <row r="222" spans="2:2" ht="14.25" customHeight="1" x14ac:dyDescent="0.25">
      <c r="B222" s="99"/>
    </row>
    <row r="223" spans="2:2" ht="14.25" customHeight="1" x14ac:dyDescent="0.25">
      <c r="B223" s="99"/>
    </row>
    <row r="224" spans="2:2" ht="14.25" customHeight="1" x14ac:dyDescent="0.25">
      <c r="B224" s="99"/>
    </row>
    <row r="225" spans="2:2" ht="14.25" customHeight="1" x14ac:dyDescent="0.25">
      <c r="B225" s="99"/>
    </row>
    <row r="226" spans="2:2" ht="14.25" customHeight="1" x14ac:dyDescent="0.25">
      <c r="B226" s="99"/>
    </row>
    <row r="227" spans="2:2" ht="14.25" customHeight="1" x14ac:dyDescent="0.25">
      <c r="B227" s="99"/>
    </row>
    <row r="228" spans="2:2" ht="14.25" customHeight="1" x14ac:dyDescent="0.25">
      <c r="B228" s="99"/>
    </row>
    <row r="229" spans="2:2" ht="14.25" customHeight="1" x14ac:dyDescent="0.25">
      <c r="B229" s="99"/>
    </row>
    <row r="230" spans="2:2" ht="14.25" customHeight="1" x14ac:dyDescent="0.25">
      <c r="B230" s="99"/>
    </row>
    <row r="231" spans="2:2" ht="14.25" customHeight="1" x14ac:dyDescent="0.25">
      <c r="B231" s="99"/>
    </row>
    <row r="232" spans="2:2" ht="14.25" customHeight="1" x14ac:dyDescent="0.25">
      <c r="B232" s="99"/>
    </row>
    <row r="233" spans="2:2" ht="14.25" customHeight="1" x14ac:dyDescent="0.25">
      <c r="B233" s="99"/>
    </row>
    <row r="234" spans="2:2" ht="14.25" customHeight="1" x14ac:dyDescent="0.25">
      <c r="B234" s="99"/>
    </row>
    <row r="235" spans="2:2" ht="14.25" customHeight="1" x14ac:dyDescent="0.25">
      <c r="B235" s="99"/>
    </row>
    <row r="236" spans="2:2" ht="14.25" customHeight="1" x14ac:dyDescent="0.25">
      <c r="B236" s="99"/>
    </row>
    <row r="237" spans="2:2" ht="14.25" customHeight="1" x14ac:dyDescent="0.25">
      <c r="B237" s="99"/>
    </row>
    <row r="238" spans="2:2" ht="14.25" customHeight="1" x14ac:dyDescent="0.25">
      <c r="B238" s="99"/>
    </row>
    <row r="239" spans="2:2" ht="14.25" customHeight="1" x14ac:dyDescent="0.25">
      <c r="B239" s="99"/>
    </row>
    <row r="240" spans="2:2" ht="14.25" customHeight="1" x14ac:dyDescent="0.25">
      <c r="B240" s="99"/>
    </row>
    <row r="241" spans="2:2" ht="14.25" customHeight="1" x14ac:dyDescent="0.25">
      <c r="B241" s="99"/>
    </row>
    <row r="242" spans="2:2" ht="14.25" customHeight="1" x14ac:dyDescent="0.25">
      <c r="B242" s="99"/>
    </row>
    <row r="243" spans="2:2" ht="14.25" customHeight="1" x14ac:dyDescent="0.25">
      <c r="B243" s="99"/>
    </row>
    <row r="244" spans="2:2" ht="14.25" customHeight="1" x14ac:dyDescent="0.25">
      <c r="B244" s="99"/>
    </row>
    <row r="245" spans="2:2" ht="14.25" customHeight="1" x14ac:dyDescent="0.25">
      <c r="B245" s="99"/>
    </row>
    <row r="246" spans="2:2" ht="14.25" customHeight="1" x14ac:dyDescent="0.25">
      <c r="B246" s="99"/>
    </row>
    <row r="247" spans="2:2" ht="14.25" customHeight="1" x14ac:dyDescent="0.25">
      <c r="B247" s="99"/>
    </row>
    <row r="248" spans="2:2" ht="14.25" customHeight="1" x14ac:dyDescent="0.25">
      <c r="B248" s="99"/>
    </row>
    <row r="249" spans="2:2" ht="14.25" customHeight="1" x14ac:dyDescent="0.25">
      <c r="B249" s="99"/>
    </row>
    <row r="250" spans="2:2" ht="14.25" customHeight="1" x14ac:dyDescent="0.25">
      <c r="B250" s="99"/>
    </row>
    <row r="251" spans="2:2" ht="14.25" customHeight="1" x14ac:dyDescent="0.25">
      <c r="B251" s="99"/>
    </row>
    <row r="252" spans="2:2" ht="14.25" customHeight="1" x14ac:dyDescent="0.25">
      <c r="B252" s="99"/>
    </row>
    <row r="253" spans="2:2" ht="14.25" customHeight="1" x14ac:dyDescent="0.25">
      <c r="B253" s="99"/>
    </row>
    <row r="254" spans="2:2" ht="14.25" customHeight="1" x14ac:dyDescent="0.25">
      <c r="B254" s="99"/>
    </row>
    <row r="255" spans="2:2" ht="14.25" customHeight="1" x14ac:dyDescent="0.25">
      <c r="B255" s="99"/>
    </row>
    <row r="256" spans="2:2" ht="14.25" customHeight="1" x14ac:dyDescent="0.25">
      <c r="B256" s="99"/>
    </row>
    <row r="257" spans="2:2" ht="14.25" customHeight="1" x14ac:dyDescent="0.25">
      <c r="B257" s="99"/>
    </row>
    <row r="258" spans="2:2" ht="14.25" customHeight="1" x14ac:dyDescent="0.25">
      <c r="B258" s="99"/>
    </row>
    <row r="259" spans="2:2" ht="14.25" customHeight="1" x14ac:dyDescent="0.25">
      <c r="B259" s="99"/>
    </row>
    <row r="260" spans="2:2" ht="14.25" customHeight="1" x14ac:dyDescent="0.25">
      <c r="B260" s="99"/>
    </row>
    <row r="261" spans="2:2" ht="14.25" customHeight="1" x14ac:dyDescent="0.25">
      <c r="B261" s="99"/>
    </row>
    <row r="262" spans="2:2" ht="14.25" customHeight="1" x14ac:dyDescent="0.25">
      <c r="B262" s="99"/>
    </row>
    <row r="263" spans="2:2" ht="14.25" customHeight="1" x14ac:dyDescent="0.25">
      <c r="B263" s="99"/>
    </row>
    <row r="264" spans="2:2" ht="14.25" customHeight="1" x14ac:dyDescent="0.25">
      <c r="B264" s="99"/>
    </row>
    <row r="265" spans="2:2" ht="14.25" customHeight="1" x14ac:dyDescent="0.25">
      <c r="B265" s="99"/>
    </row>
    <row r="266" spans="2:2" ht="14.25" customHeight="1" x14ac:dyDescent="0.25">
      <c r="B266" s="99"/>
    </row>
    <row r="267" spans="2:2" ht="14.25" customHeight="1" x14ac:dyDescent="0.25">
      <c r="B267" s="99"/>
    </row>
    <row r="268" spans="2:2" ht="14.25" customHeight="1" x14ac:dyDescent="0.25">
      <c r="B268" s="99"/>
    </row>
    <row r="269" spans="2:2" ht="14.25" customHeight="1" x14ac:dyDescent="0.25">
      <c r="B269" s="99"/>
    </row>
    <row r="270" spans="2:2" ht="14.25" customHeight="1" x14ac:dyDescent="0.25">
      <c r="B270" s="99"/>
    </row>
    <row r="271" spans="2:2" ht="14.25" customHeight="1" x14ac:dyDescent="0.25">
      <c r="B271" s="99"/>
    </row>
    <row r="272" spans="2:2" ht="14.25" customHeight="1" x14ac:dyDescent="0.25">
      <c r="B272" s="99"/>
    </row>
    <row r="273" spans="2:2" ht="14.25" customHeight="1" x14ac:dyDescent="0.25">
      <c r="B273" s="99"/>
    </row>
    <row r="274" spans="2:2" ht="14.25" customHeight="1" x14ac:dyDescent="0.25">
      <c r="B274" s="99"/>
    </row>
    <row r="275" spans="2:2" ht="14.25" customHeight="1" x14ac:dyDescent="0.25">
      <c r="B275" s="99"/>
    </row>
    <row r="276" spans="2:2" ht="14.25" customHeight="1" x14ac:dyDescent="0.25">
      <c r="B276" s="99"/>
    </row>
    <row r="277" spans="2:2" ht="14.25" customHeight="1" x14ac:dyDescent="0.25">
      <c r="B277" s="99"/>
    </row>
    <row r="278" spans="2:2" ht="14.25" customHeight="1" x14ac:dyDescent="0.25">
      <c r="B278" s="99"/>
    </row>
    <row r="279" spans="2:2" ht="14.25" customHeight="1" x14ac:dyDescent="0.25">
      <c r="B279" s="99"/>
    </row>
    <row r="280" spans="2:2" ht="14.25" customHeight="1" x14ac:dyDescent="0.25">
      <c r="B280" s="99"/>
    </row>
    <row r="281" spans="2:2" ht="14.25" customHeight="1" x14ac:dyDescent="0.25">
      <c r="B281" s="99"/>
    </row>
    <row r="282" spans="2:2" ht="14.25" customHeight="1" x14ac:dyDescent="0.25">
      <c r="B282" s="99"/>
    </row>
    <row r="283" spans="2:2" ht="14.25" customHeight="1" x14ac:dyDescent="0.25">
      <c r="B283" s="99"/>
    </row>
    <row r="284" spans="2:2" ht="14.25" customHeight="1" x14ac:dyDescent="0.25">
      <c r="B284" s="99"/>
    </row>
    <row r="285" spans="2:2" ht="14.25" customHeight="1" x14ac:dyDescent="0.25">
      <c r="B285" s="99"/>
    </row>
    <row r="286" spans="2:2" ht="14.25" customHeight="1" x14ac:dyDescent="0.25">
      <c r="B286" s="99"/>
    </row>
    <row r="287" spans="2:2" ht="14.25" customHeight="1" x14ac:dyDescent="0.25">
      <c r="B287" s="99"/>
    </row>
    <row r="288" spans="2:2" ht="14.25" customHeight="1" x14ac:dyDescent="0.25">
      <c r="B288" s="99"/>
    </row>
    <row r="289" spans="2:2" ht="14.25" customHeight="1" x14ac:dyDescent="0.25">
      <c r="B289" s="99"/>
    </row>
    <row r="290" spans="2:2" ht="14.25" customHeight="1" x14ac:dyDescent="0.25">
      <c r="B290" s="99"/>
    </row>
    <row r="291" spans="2:2" ht="14.25" customHeight="1" x14ac:dyDescent="0.25">
      <c r="B291" s="99"/>
    </row>
    <row r="292" spans="2:2" ht="14.25" customHeight="1" x14ac:dyDescent="0.25">
      <c r="B292" s="99"/>
    </row>
    <row r="293" spans="2:2" ht="14.25" customHeight="1" x14ac:dyDescent="0.25">
      <c r="B293" s="99"/>
    </row>
    <row r="294" spans="2:2" ht="14.25" customHeight="1" x14ac:dyDescent="0.25">
      <c r="B294" s="99"/>
    </row>
    <row r="295" spans="2:2" ht="14.25" customHeight="1" x14ac:dyDescent="0.25">
      <c r="B295" s="99"/>
    </row>
    <row r="296" spans="2:2" ht="14.25" customHeight="1" x14ac:dyDescent="0.25">
      <c r="B296" s="99"/>
    </row>
    <row r="297" spans="2:2" ht="14.25" customHeight="1" x14ac:dyDescent="0.25">
      <c r="B297" s="99"/>
    </row>
    <row r="298" spans="2:2" ht="14.25" customHeight="1" x14ac:dyDescent="0.25">
      <c r="B298" s="99"/>
    </row>
    <row r="299" spans="2:2" ht="14.25" customHeight="1" x14ac:dyDescent="0.25">
      <c r="B299" s="99"/>
    </row>
    <row r="300" spans="2:2" ht="14.25" customHeight="1" x14ac:dyDescent="0.25">
      <c r="B300" s="99"/>
    </row>
    <row r="301" spans="2:2" ht="14.25" customHeight="1" x14ac:dyDescent="0.25">
      <c r="B301" s="99"/>
    </row>
    <row r="302" spans="2:2" ht="14.25" customHeight="1" x14ac:dyDescent="0.25">
      <c r="B302" s="99"/>
    </row>
    <row r="303" spans="2:2" ht="14.25" customHeight="1" x14ac:dyDescent="0.25">
      <c r="B303" s="99"/>
    </row>
    <row r="304" spans="2:2" ht="14.25" customHeight="1" x14ac:dyDescent="0.25">
      <c r="B304" s="99"/>
    </row>
    <row r="305" spans="2:2" ht="14.25" customHeight="1" x14ac:dyDescent="0.25">
      <c r="B305" s="99"/>
    </row>
    <row r="306" spans="2:2" ht="14.25" customHeight="1" x14ac:dyDescent="0.25">
      <c r="B306" s="99"/>
    </row>
    <row r="307" spans="2:2" ht="14.25" customHeight="1" x14ac:dyDescent="0.25">
      <c r="B307" s="99"/>
    </row>
    <row r="308" spans="2:2" ht="14.25" customHeight="1" x14ac:dyDescent="0.25">
      <c r="B308" s="99"/>
    </row>
    <row r="309" spans="2:2" ht="14.25" customHeight="1" x14ac:dyDescent="0.25">
      <c r="B309" s="99"/>
    </row>
    <row r="310" spans="2:2" ht="14.25" customHeight="1" x14ac:dyDescent="0.25">
      <c r="B310" s="99"/>
    </row>
    <row r="311" spans="2:2" ht="14.25" customHeight="1" x14ac:dyDescent="0.25">
      <c r="B311" s="99"/>
    </row>
    <row r="312" spans="2:2" ht="14.25" customHeight="1" x14ac:dyDescent="0.25">
      <c r="B312" s="99"/>
    </row>
    <row r="313" spans="2:2" ht="14.25" customHeight="1" x14ac:dyDescent="0.25">
      <c r="B313" s="99"/>
    </row>
    <row r="314" spans="2:2" ht="14.25" customHeight="1" x14ac:dyDescent="0.25">
      <c r="B314" s="99"/>
    </row>
    <row r="315" spans="2:2" ht="14.25" customHeight="1" x14ac:dyDescent="0.25">
      <c r="B315" s="99"/>
    </row>
    <row r="316" spans="2:2" ht="14.25" customHeight="1" x14ac:dyDescent="0.25">
      <c r="B316" s="99"/>
    </row>
    <row r="317" spans="2:2" ht="14.25" customHeight="1" x14ac:dyDescent="0.25">
      <c r="B317" s="99"/>
    </row>
    <row r="318" spans="2:2" ht="14.25" customHeight="1" x14ac:dyDescent="0.25">
      <c r="B318" s="99"/>
    </row>
    <row r="319" spans="2:2" ht="14.25" customHeight="1" x14ac:dyDescent="0.25">
      <c r="B319" s="99"/>
    </row>
    <row r="320" spans="2:2" ht="14.25" customHeight="1" x14ac:dyDescent="0.25">
      <c r="B320" s="99"/>
    </row>
    <row r="321" spans="2:2" ht="14.25" customHeight="1" x14ac:dyDescent="0.25">
      <c r="B321" s="99"/>
    </row>
    <row r="322" spans="2:2" ht="14.25" customHeight="1" x14ac:dyDescent="0.25">
      <c r="B322" s="99"/>
    </row>
    <row r="323" spans="2:2" ht="14.25" customHeight="1" x14ac:dyDescent="0.25">
      <c r="B323" s="99"/>
    </row>
    <row r="324" spans="2:2" ht="14.25" customHeight="1" x14ac:dyDescent="0.25">
      <c r="B324" s="99"/>
    </row>
    <row r="325" spans="2:2" ht="14.25" customHeight="1" x14ac:dyDescent="0.25">
      <c r="B325" s="99"/>
    </row>
    <row r="326" spans="2:2" ht="14.25" customHeight="1" x14ac:dyDescent="0.25">
      <c r="B326" s="99"/>
    </row>
    <row r="327" spans="2:2" ht="14.25" customHeight="1" x14ac:dyDescent="0.25">
      <c r="B327" s="99"/>
    </row>
    <row r="328" spans="2:2" ht="14.25" customHeight="1" x14ac:dyDescent="0.25">
      <c r="B328" s="99"/>
    </row>
    <row r="329" spans="2:2" ht="14.25" customHeight="1" x14ac:dyDescent="0.25">
      <c r="B329" s="99"/>
    </row>
    <row r="330" spans="2:2" ht="14.25" customHeight="1" x14ac:dyDescent="0.25">
      <c r="B330" s="99"/>
    </row>
    <row r="331" spans="2:2" ht="14.25" customHeight="1" x14ac:dyDescent="0.25">
      <c r="B331" s="99"/>
    </row>
    <row r="332" spans="2:2" ht="14.25" customHeight="1" x14ac:dyDescent="0.25">
      <c r="B332" s="99"/>
    </row>
    <row r="333" spans="2:2" ht="14.25" customHeight="1" x14ac:dyDescent="0.25">
      <c r="B333" s="99"/>
    </row>
    <row r="334" spans="2:2" ht="14.25" customHeight="1" x14ac:dyDescent="0.25">
      <c r="B334" s="99"/>
    </row>
    <row r="335" spans="2:2" ht="14.25" customHeight="1" x14ac:dyDescent="0.25">
      <c r="B335" s="99"/>
    </row>
    <row r="336" spans="2:2" ht="14.25" customHeight="1" x14ac:dyDescent="0.25">
      <c r="B336" s="99"/>
    </row>
    <row r="337" spans="2:2" ht="14.25" customHeight="1" x14ac:dyDescent="0.25">
      <c r="B337" s="99"/>
    </row>
    <row r="338" spans="2:2" ht="14.25" customHeight="1" x14ac:dyDescent="0.25">
      <c r="B338" s="99"/>
    </row>
    <row r="339" spans="2:2" ht="14.25" customHeight="1" x14ac:dyDescent="0.25">
      <c r="B339" s="99"/>
    </row>
    <row r="340" spans="2:2" ht="14.25" customHeight="1" x14ac:dyDescent="0.25">
      <c r="B340" s="99"/>
    </row>
    <row r="341" spans="2:2" ht="14.25" customHeight="1" x14ac:dyDescent="0.25">
      <c r="B341" s="99"/>
    </row>
    <row r="342" spans="2:2" ht="14.25" customHeight="1" x14ac:dyDescent="0.25">
      <c r="B342" s="99"/>
    </row>
    <row r="343" spans="2:2" ht="14.25" customHeight="1" x14ac:dyDescent="0.25">
      <c r="B343" s="99"/>
    </row>
    <row r="344" spans="2:2" ht="14.25" customHeight="1" x14ac:dyDescent="0.25">
      <c r="B344" s="99"/>
    </row>
    <row r="345" spans="2:2" ht="14.25" customHeight="1" x14ac:dyDescent="0.25">
      <c r="B345" s="99"/>
    </row>
    <row r="346" spans="2:2" ht="14.25" customHeight="1" x14ac:dyDescent="0.25">
      <c r="B346" s="99"/>
    </row>
    <row r="347" spans="2:2" ht="14.25" customHeight="1" x14ac:dyDescent="0.25">
      <c r="B347" s="99"/>
    </row>
    <row r="348" spans="2:2" ht="14.25" customHeight="1" x14ac:dyDescent="0.25">
      <c r="B348" s="99"/>
    </row>
    <row r="349" spans="2:2" ht="14.25" customHeight="1" x14ac:dyDescent="0.25">
      <c r="B349" s="99"/>
    </row>
    <row r="350" spans="2:2" ht="14.25" customHeight="1" x14ac:dyDescent="0.25">
      <c r="B350" s="99"/>
    </row>
    <row r="351" spans="2:2" ht="14.25" customHeight="1" x14ac:dyDescent="0.25">
      <c r="B351" s="99"/>
    </row>
    <row r="352" spans="2:2" ht="14.25" customHeight="1" x14ac:dyDescent="0.25">
      <c r="B352" s="99"/>
    </row>
    <row r="353" spans="2:2" ht="14.25" customHeight="1" x14ac:dyDescent="0.25">
      <c r="B353" s="99"/>
    </row>
    <row r="354" spans="2:2" ht="14.25" customHeight="1" x14ac:dyDescent="0.25">
      <c r="B354" s="99"/>
    </row>
    <row r="355" spans="2:2" ht="14.25" customHeight="1" x14ac:dyDescent="0.25">
      <c r="B355" s="99"/>
    </row>
    <row r="356" spans="2:2" ht="14.25" customHeight="1" x14ac:dyDescent="0.25">
      <c r="B356" s="99"/>
    </row>
    <row r="357" spans="2:2" ht="14.25" customHeight="1" x14ac:dyDescent="0.25">
      <c r="B357" s="99"/>
    </row>
    <row r="358" spans="2:2" ht="14.25" customHeight="1" x14ac:dyDescent="0.25">
      <c r="B358" s="99"/>
    </row>
    <row r="359" spans="2:2" ht="14.25" customHeight="1" x14ac:dyDescent="0.25">
      <c r="B359" s="99"/>
    </row>
    <row r="360" spans="2:2" ht="14.25" customHeight="1" x14ac:dyDescent="0.25">
      <c r="B360" s="99"/>
    </row>
    <row r="361" spans="2:2" ht="14.25" customHeight="1" x14ac:dyDescent="0.25">
      <c r="B361" s="99"/>
    </row>
    <row r="362" spans="2:2" ht="14.25" customHeight="1" x14ac:dyDescent="0.25">
      <c r="B362" s="99"/>
    </row>
    <row r="363" spans="2:2" ht="14.25" customHeight="1" x14ac:dyDescent="0.25">
      <c r="B363" s="99"/>
    </row>
    <row r="364" spans="2:2" ht="14.25" customHeight="1" x14ac:dyDescent="0.25">
      <c r="B364" s="99"/>
    </row>
    <row r="365" spans="2:2" ht="14.25" customHeight="1" x14ac:dyDescent="0.25">
      <c r="B365" s="99"/>
    </row>
    <row r="366" spans="2:2" ht="14.25" customHeight="1" x14ac:dyDescent="0.25">
      <c r="B366" s="99"/>
    </row>
    <row r="367" spans="2:2" ht="14.25" customHeight="1" x14ac:dyDescent="0.25">
      <c r="B367" s="99"/>
    </row>
    <row r="368" spans="2:2" ht="14.25" customHeight="1" x14ac:dyDescent="0.25">
      <c r="B368" s="99"/>
    </row>
    <row r="369" spans="2:2" ht="14.25" customHeight="1" x14ac:dyDescent="0.25">
      <c r="B369" s="99"/>
    </row>
    <row r="370" spans="2:2" ht="14.25" customHeight="1" x14ac:dyDescent="0.25">
      <c r="B370" s="99"/>
    </row>
    <row r="371" spans="2:2" ht="14.25" customHeight="1" x14ac:dyDescent="0.25">
      <c r="B371" s="99"/>
    </row>
    <row r="372" spans="2:2" ht="14.25" customHeight="1" x14ac:dyDescent="0.25">
      <c r="B372" s="99"/>
    </row>
    <row r="373" spans="2:2" ht="14.25" customHeight="1" x14ac:dyDescent="0.25">
      <c r="B373" s="99"/>
    </row>
    <row r="374" spans="2:2" ht="14.25" customHeight="1" x14ac:dyDescent="0.25">
      <c r="B374" s="99"/>
    </row>
    <row r="375" spans="2:2" ht="14.25" customHeight="1" x14ac:dyDescent="0.25">
      <c r="B375" s="99"/>
    </row>
    <row r="376" spans="2:2" ht="14.25" customHeight="1" x14ac:dyDescent="0.25">
      <c r="B376" s="99"/>
    </row>
    <row r="377" spans="2:2" ht="14.25" customHeight="1" x14ac:dyDescent="0.25">
      <c r="B377" s="99"/>
    </row>
    <row r="378" spans="2:2" ht="14.25" customHeight="1" x14ac:dyDescent="0.25">
      <c r="B378" s="99"/>
    </row>
    <row r="379" spans="2:2" ht="14.25" customHeight="1" x14ac:dyDescent="0.25">
      <c r="B379" s="99"/>
    </row>
    <row r="380" spans="2:2" ht="14.25" customHeight="1" x14ac:dyDescent="0.25">
      <c r="B380" s="99"/>
    </row>
    <row r="381" spans="2:2" ht="14.25" customHeight="1" x14ac:dyDescent="0.25">
      <c r="B381" s="99"/>
    </row>
    <row r="382" spans="2:2" ht="14.25" customHeight="1" x14ac:dyDescent="0.25">
      <c r="B382" s="99"/>
    </row>
    <row r="383" spans="2:2" ht="14.25" customHeight="1" x14ac:dyDescent="0.25">
      <c r="B383" s="99"/>
    </row>
    <row r="384" spans="2:2" ht="14.25" customHeight="1" x14ac:dyDescent="0.25">
      <c r="B384" s="99"/>
    </row>
    <row r="385" spans="2:2" ht="14.25" customHeight="1" x14ac:dyDescent="0.25">
      <c r="B385" s="99"/>
    </row>
    <row r="386" spans="2:2" ht="14.25" customHeight="1" x14ac:dyDescent="0.25">
      <c r="B386" s="99"/>
    </row>
    <row r="387" spans="2:2" ht="14.25" customHeight="1" x14ac:dyDescent="0.25">
      <c r="B387" s="99"/>
    </row>
    <row r="388" spans="2:2" ht="14.25" customHeight="1" x14ac:dyDescent="0.25">
      <c r="B388" s="99"/>
    </row>
    <row r="389" spans="2:2" ht="14.25" customHeight="1" x14ac:dyDescent="0.25">
      <c r="B389" s="99"/>
    </row>
    <row r="390" spans="2:2" ht="14.25" customHeight="1" x14ac:dyDescent="0.25">
      <c r="B390" s="99"/>
    </row>
    <row r="391" spans="2:2" ht="14.25" customHeight="1" x14ac:dyDescent="0.25">
      <c r="B391" s="99"/>
    </row>
    <row r="392" spans="2:2" ht="14.25" customHeight="1" x14ac:dyDescent="0.25">
      <c r="B392" s="99"/>
    </row>
    <row r="393" spans="2:2" ht="14.25" customHeight="1" x14ac:dyDescent="0.25">
      <c r="B393" s="99"/>
    </row>
    <row r="394" spans="2:2" ht="14.25" customHeight="1" x14ac:dyDescent="0.25">
      <c r="B394" s="99"/>
    </row>
    <row r="395" spans="2:2" ht="14.25" customHeight="1" x14ac:dyDescent="0.25">
      <c r="B395" s="99"/>
    </row>
    <row r="396" spans="2:2" ht="14.25" customHeight="1" x14ac:dyDescent="0.25">
      <c r="B396" s="99"/>
    </row>
    <row r="397" spans="2:2" ht="14.25" customHeight="1" x14ac:dyDescent="0.25">
      <c r="B397" s="99"/>
    </row>
    <row r="398" spans="2:2" ht="14.25" customHeight="1" x14ac:dyDescent="0.25">
      <c r="B398" s="99"/>
    </row>
    <row r="399" spans="2:2" ht="14.25" customHeight="1" x14ac:dyDescent="0.25">
      <c r="B399" s="99"/>
    </row>
    <row r="400" spans="2:2" ht="14.25" customHeight="1" x14ac:dyDescent="0.25">
      <c r="B400" s="99"/>
    </row>
    <row r="401" spans="2:2" ht="14.25" customHeight="1" x14ac:dyDescent="0.25">
      <c r="B401" s="99"/>
    </row>
    <row r="402" spans="2:2" ht="14.25" customHeight="1" x14ac:dyDescent="0.25">
      <c r="B402" s="99"/>
    </row>
    <row r="403" spans="2:2" ht="14.25" customHeight="1" x14ac:dyDescent="0.25">
      <c r="B403" s="99"/>
    </row>
    <row r="404" spans="2:2" ht="14.25" customHeight="1" x14ac:dyDescent="0.25">
      <c r="B404" s="99"/>
    </row>
    <row r="405" spans="2:2" ht="14.25" customHeight="1" x14ac:dyDescent="0.25">
      <c r="B405" s="99"/>
    </row>
    <row r="406" spans="2:2" ht="14.25" customHeight="1" x14ac:dyDescent="0.25">
      <c r="B406" s="99"/>
    </row>
    <row r="407" spans="2:2" ht="14.25" customHeight="1" x14ac:dyDescent="0.25">
      <c r="B407" s="99"/>
    </row>
    <row r="408" spans="2:2" ht="14.25" customHeight="1" x14ac:dyDescent="0.25">
      <c r="B408" s="99"/>
    </row>
    <row r="409" spans="2:2" ht="14.25" customHeight="1" x14ac:dyDescent="0.25">
      <c r="B409" s="99"/>
    </row>
    <row r="410" spans="2:2" ht="14.25" customHeight="1" x14ac:dyDescent="0.25">
      <c r="B410" s="99"/>
    </row>
    <row r="411" spans="2:2" ht="14.25" customHeight="1" x14ac:dyDescent="0.25">
      <c r="B411" s="99"/>
    </row>
    <row r="412" spans="2:2" ht="14.25" customHeight="1" x14ac:dyDescent="0.25">
      <c r="B412" s="99"/>
    </row>
    <row r="413" spans="2:2" ht="14.25" customHeight="1" x14ac:dyDescent="0.25">
      <c r="B413" s="99"/>
    </row>
    <row r="414" spans="2:2" ht="14.25" customHeight="1" x14ac:dyDescent="0.25">
      <c r="B414" s="99"/>
    </row>
    <row r="415" spans="2:2" ht="14.25" customHeight="1" x14ac:dyDescent="0.25">
      <c r="B415" s="99"/>
    </row>
    <row r="416" spans="2:2" ht="14.25" customHeight="1" x14ac:dyDescent="0.25">
      <c r="B416" s="99"/>
    </row>
    <row r="417" spans="2:2" ht="14.25" customHeight="1" x14ac:dyDescent="0.25">
      <c r="B417" s="99"/>
    </row>
    <row r="418" spans="2:2" ht="14.25" customHeight="1" x14ac:dyDescent="0.25">
      <c r="B418" s="99"/>
    </row>
    <row r="419" spans="2:2" ht="14.25" customHeight="1" x14ac:dyDescent="0.25">
      <c r="B419" s="99"/>
    </row>
    <row r="420" spans="2:2" ht="14.25" customHeight="1" x14ac:dyDescent="0.25">
      <c r="B420" s="99"/>
    </row>
    <row r="421" spans="2:2" ht="14.25" customHeight="1" x14ac:dyDescent="0.25">
      <c r="B421" s="99"/>
    </row>
    <row r="422" spans="2:2" ht="14.25" customHeight="1" x14ac:dyDescent="0.25">
      <c r="B422" s="99"/>
    </row>
    <row r="423" spans="2:2" ht="14.25" customHeight="1" x14ac:dyDescent="0.25">
      <c r="B423" s="99"/>
    </row>
    <row r="424" spans="2:2" ht="14.25" customHeight="1" x14ac:dyDescent="0.25">
      <c r="B424" s="99"/>
    </row>
    <row r="425" spans="2:2" ht="14.25" customHeight="1" x14ac:dyDescent="0.25">
      <c r="B425" s="99"/>
    </row>
    <row r="426" spans="2:2" ht="14.25" customHeight="1" x14ac:dyDescent="0.25">
      <c r="B426" s="99"/>
    </row>
    <row r="427" spans="2:2" ht="14.25" customHeight="1" x14ac:dyDescent="0.25">
      <c r="B427" s="99"/>
    </row>
    <row r="428" spans="2:2" ht="14.25" customHeight="1" x14ac:dyDescent="0.25">
      <c r="B428" s="99"/>
    </row>
    <row r="429" spans="2:2" ht="14.25" customHeight="1" x14ac:dyDescent="0.25">
      <c r="B429" s="99"/>
    </row>
    <row r="430" spans="2:2" ht="14.25" customHeight="1" x14ac:dyDescent="0.25">
      <c r="B430" s="99"/>
    </row>
    <row r="431" spans="2:2" ht="14.25" customHeight="1" x14ac:dyDescent="0.25">
      <c r="B431" s="99"/>
    </row>
    <row r="432" spans="2:2" ht="14.25" customHeight="1" x14ac:dyDescent="0.25">
      <c r="B432" s="99"/>
    </row>
    <row r="433" spans="2:2" ht="14.25" customHeight="1" x14ac:dyDescent="0.25">
      <c r="B433" s="99"/>
    </row>
    <row r="434" spans="2:2" ht="14.25" customHeight="1" x14ac:dyDescent="0.25">
      <c r="B434" s="99"/>
    </row>
    <row r="435" spans="2:2" ht="14.25" customHeight="1" x14ac:dyDescent="0.25">
      <c r="B435" s="99"/>
    </row>
    <row r="436" spans="2:2" ht="14.25" customHeight="1" x14ac:dyDescent="0.25">
      <c r="B436" s="99"/>
    </row>
    <row r="437" spans="2:2" ht="14.25" customHeight="1" x14ac:dyDescent="0.25">
      <c r="B437" s="99"/>
    </row>
    <row r="438" spans="2:2" ht="14.25" customHeight="1" x14ac:dyDescent="0.25">
      <c r="B438" s="99"/>
    </row>
    <row r="439" spans="2:2" ht="14.25" customHeight="1" x14ac:dyDescent="0.25">
      <c r="B439" s="99"/>
    </row>
    <row r="440" spans="2:2" ht="14.25" customHeight="1" x14ac:dyDescent="0.25">
      <c r="B440" s="99"/>
    </row>
    <row r="441" spans="2:2" ht="14.25" customHeight="1" x14ac:dyDescent="0.25">
      <c r="B441" s="99"/>
    </row>
    <row r="442" spans="2:2" ht="14.25" customHeight="1" x14ac:dyDescent="0.25">
      <c r="B442" s="99"/>
    </row>
    <row r="443" spans="2:2" ht="14.25" customHeight="1" x14ac:dyDescent="0.25">
      <c r="B443" s="99"/>
    </row>
    <row r="444" spans="2:2" ht="14.25" customHeight="1" x14ac:dyDescent="0.25">
      <c r="B444" s="99"/>
    </row>
    <row r="445" spans="2:2" ht="14.25" customHeight="1" x14ac:dyDescent="0.25">
      <c r="B445" s="99"/>
    </row>
    <row r="446" spans="2:2" ht="14.25" customHeight="1" x14ac:dyDescent="0.25">
      <c r="B446" s="99"/>
    </row>
    <row r="447" spans="2:2" ht="14.25" customHeight="1" x14ac:dyDescent="0.25">
      <c r="B447" s="99"/>
    </row>
    <row r="448" spans="2:2" ht="14.25" customHeight="1" x14ac:dyDescent="0.25">
      <c r="B448" s="99"/>
    </row>
    <row r="449" spans="2:2" ht="14.25" customHeight="1" x14ac:dyDescent="0.25">
      <c r="B449" s="99"/>
    </row>
    <row r="450" spans="2:2" ht="14.25" customHeight="1" x14ac:dyDescent="0.25">
      <c r="B450" s="99"/>
    </row>
    <row r="451" spans="2:2" ht="14.25" customHeight="1" x14ac:dyDescent="0.25">
      <c r="B451" s="99"/>
    </row>
    <row r="452" spans="2:2" ht="14.25" customHeight="1" x14ac:dyDescent="0.25">
      <c r="B452" s="99"/>
    </row>
    <row r="453" spans="2:2" ht="14.25" customHeight="1" x14ac:dyDescent="0.25">
      <c r="B453" s="99"/>
    </row>
    <row r="454" spans="2:2" ht="14.25" customHeight="1" x14ac:dyDescent="0.25">
      <c r="B454" s="99"/>
    </row>
    <row r="455" spans="2:2" ht="14.25" customHeight="1" x14ac:dyDescent="0.25">
      <c r="B455" s="99"/>
    </row>
    <row r="456" spans="2:2" ht="14.25" customHeight="1" x14ac:dyDescent="0.25">
      <c r="B456" s="99"/>
    </row>
    <row r="457" spans="2:2" ht="14.25" customHeight="1" x14ac:dyDescent="0.25">
      <c r="B457" s="99"/>
    </row>
    <row r="458" spans="2:2" ht="14.25" customHeight="1" x14ac:dyDescent="0.25">
      <c r="B458" s="99"/>
    </row>
    <row r="459" spans="2:2" ht="14.25" customHeight="1" x14ac:dyDescent="0.25">
      <c r="B459" s="99"/>
    </row>
    <row r="460" spans="2:2" ht="14.25" customHeight="1" x14ac:dyDescent="0.25">
      <c r="B460" s="99"/>
    </row>
    <row r="461" spans="2:2" ht="14.25" customHeight="1" x14ac:dyDescent="0.25">
      <c r="B461" s="99"/>
    </row>
    <row r="462" spans="2:2" ht="14.25" customHeight="1" x14ac:dyDescent="0.25">
      <c r="B462" s="99"/>
    </row>
    <row r="463" spans="2:2" ht="14.25" customHeight="1" x14ac:dyDescent="0.25">
      <c r="B463" s="99"/>
    </row>
    <row r="464" spans="2:2" ht="14.25" customHeight="1" x14ac:dyDescent="0.25">
      <c r="B464" s="99"/>
    </row>
    <row r="465" spans="2:2" ht="14.25" customHeight="1" x14ac:dyDescent="0.25">
      <c r="B465" s="99"/>
    </row>
    <row r="466" spans="2:2" ht="14.25" customHeight="1" x14ac:dyDescent="0.25">
      <c r="B466" s="99"/>
    </row>
    <row r="467" spans="2:2" ht="14.25" customHeight="1" x14ac:dyDescent="0.25">
      <c r="B467" s="99"/>
    </row>
    <row r="468" spans="2:2" ht="14.25" customHeight="1" x14ac:dyDescent="0.25">
      <c r="B468" s="99"/>
    </row>
    <row r="469" spans="2:2" ht="14.25" customHeight="1" x14ac:dyDescent="0.25">
      <c r="B469" s="99"/>
    </row>
    <row r="470" spans="2:2" ht="14.25" customHeight="1" x14ac:dyDescent="0.25">
      <c r="B470" s="99"/>
    </row>
    <row r="471" spans="2:2" ht="14.25" customHeight="1" x14ac:dyDescent="0.25">
      <c r="B471" s="99"/>
    </row>
    <row r="472" spans="2:2" ht="14.25" customHeight="1" x14ac:dyDescent="0.25">
      <c r="B472" s="99"/>
    </row>
    <row r="473" spans="2:2" ht="14.25" customHeight="1" x14ac:dyDescent="0.25">
      <c r="B473" s="99"/>
    </row>
    <row r="474" spans="2:2" ht="14.25" customHeight="1" x14ac:dyDescent="0.25">
      <c r="B474" s="99"/>
    </row>
    <row r="475" spans="2:2" ht="14.25" customHeight="1" x14ac:dyDescent="0.25">
      <c r="B475" s="99"/>
    </row>
    <row r="476" spans="2:2" ht="14.25" customHeight="1" x14ac:dyDescent="0.25">
      <c r="B476" s="99"/>
    </row>
    <row r="477" spans="2:2" ht="14.25" customHeight="1" x14ac:dyDescent="0.25">
      <c r="B477" s="99"/>
    </row>
    <row r="478" spans="2:2" ht="14.25" customHeight="1" x14ac:dyDescent="0.25">
      <c r="B478" s="99"/>
    </row>
    <row r="479" spans="2:2" ht="14.25" customHeight="1" x14ac:dyDescent="0.25">
      <c r="B479" s="99"/>
    </row>
    <row r="480" spans="2:2" ht="14.25" customHeight="1" x14ac:dyDescent="0.25">
      <c r="B480" s="99"/>
    </row>
    <row r="481" spans="2:2" ht="14.25" customHeight="1" x14ac:dyDescent="0.25">
      <c r="B481" s="99"/>
    </row>
    <row r="482" spans="2:2" ht="14.25" customHeight="1" x14ac:dyDescent="0.25">
      <c r="B482" s="99"/>
    </row>
    <row r="483" spans="2:2" ht="14.25" customHeight="1" x14ac:dyDescent="0.25">
      <c r="B483" s="99"/>
    </row>
    <row r="484" spans="2:2" ht="14.25" customHeight="1" x14ac:dyDescent="0.25">
      <c r="B484" s="99"/>
    </row>
    <row r="485" spans="2:2" ht="14.25" customHeight="1" x14ac:dyDescent="0.25">
      <c r="B485" s="99"/>
    </row>
    <row r="486" spans="2:2" ht="14.25" customHeight="1" x14ac:dyDescent="0.25">
      <c r="B486" s="99"/>
    </row>
    <row r="487" spans="2:2" ht="14.25" customHeight="1" x14ac:dyDescent="0.25">
      <c r="B487" s="99"/>
    </row>
    <row r="488" spans="2:2" ht="14.25" customHeight="1" x14ac:dyDescent="0.25">
      <c r="B488" s="99"/>
    </row>
    <row r="489" spans="2:2" ht="14.25" customHeight="1" x14ac:dyDescent="0.25">
      <c r="B489" s="99"/>
    </row>
    <row r="490" spans="2:2" ht="14.25" customHeight="1" x14ac:dyDescent="0.25">
      <c r="B490" s="99"/>
    </row>
    <row r="491" spans="2:2" ht="14.25" customHeight="1" x14ac:dyDescent="0.25">
      <c r="B491" s="99"/>
    </row>
    <row r="492" spans="2:2" ht="14.25" customHeight="1" x14ac:dyDescent="0.25">
      <c r="B492" s="99"/>
    </row>
    <row r="493" spans="2:2" ht="14.25" customHeight="1" x14ac:dyDescent="0.25">
      <c r="B493" s="99"/>
    </row>
    <row r="494" spans="2:2" ht="14.25" customHeight="1" x14ac:dyDescent="0.25">
      <c r="B494" s="99"/>
    </row>
    <row r="495" spans="2:2" ht="14.25" customHeight="1" x14ac:dyDescent="0.25">
      <c r="B495" s="99"/>
    </row>
    <row r="496" spans="2:2" ht="14.25" customHeight="1" x14ac:dyDescent="0.25">
      <c r="B496" s="99"/>
    </row>
    <row r="497" spans="2:2" ht="14.25" customHeight="1" x14ac:dyDescent="0.25">
      <c r="B497" s="99"/>
    </row>
    <row r="498" spans="2:2" ht="14.25" customHeight="1" x14ac:dyDescent="0.25">
      <c r="B498" s="99"/>
    </row>
    <row r="499" spans="2:2" ht="14.25" customHeight="1" x14ac:dyDescent="0.25">
      <c r="B499" s="99"/>
    </row>
    <row r="500" spans="2:2" ht="14.25" customHeight="1" x14ac:dyDescent="0.25">
      <c r="B500" s="99"/>
    </row>
    <row r="501" spans="2:2" ht="14.25" customHeight="1" x14ac:dyDescent="0.25">
      <c r="B501" s="99"/>
    </row>
    <row r="502" spans="2:2" ht="14.25" customHeight="1" x14ac:dyDescent="0.25">
      <c r="B502" s="99"/>
    </row>
    <row r="503" spans="2:2" ht="14.25" customHeight="1" x14ac:dyDescent="0.25">
      <c r="B503" s="99"/>
    </row>
    <row r="504" spans="2:2" ht="14.25" customHeight="1" x14ac:dyDescent="0.25">
      <c r="B504" s="99"/>
    </row>
    <row r="505" spans="2:2" ht="14.25" customHeight="1" x14ac:dyDescent="0.25">
      <c r="B505" s="99"/>
    </row>
    <row r="506" spans="2:2" ht="14.25" customHeight="1" x14ac:dyDescent="0.25">
      <c r="B506" s="99"/>
    </row>
    <row r="507" spans="2:2" ht="14.25" customHeight="1" x14ac:dyDescent="0.25">
      <c r="B507" s="99"/>
    </row>
    <row r="508" spans="2:2" ht="14.25" customHeight="1" x14ac:dyDescent="0.25">
      <c r="B508" s="99"/>
    </row>
    <row r="509" spans="2:2" ht="14.25" customHeight="1" x14ac:dyDescent="0.25">
      <c r="B509" s="99"/>
    </row>
    <row r="510" spans="2:2" ht="14.25" customHeight="1" x14ac:dyDescent="0.25">
      <c r="B510" s="99"/>
    </row>
    <row r="511" spans="2:2" ht="14.25" customHeight="1" x14ac:dyDescent="0.25">
      <c r="B511" s="99"/>
    </row>
    <row r="512" spans="2:2" ht="14.25" customHeight="1" x14ac:dyDescent="0.25">
      <c r="B512" s="99"/>
    </row>
    <row r="513" spans="2:2" ht="14.25" customHeight="1" x14ac:dyDescent="0.25">
      <c r="B513" s="99"/>
    </row>
    <row r="514" spans="2:2" ht="14.25" customHeight="1" x14ac:dyDescent="0.25">
      <c r="B514" s="99"/>
    </row>
    <row r="515" spans="2:2" ht="14.25" customHeight="1" x14ac:dyDescent="0.25">
      <c r="B515" s="99"/>
    </row>
    <row r="516" spans="2:2" ht="14.25" customHeight="1" x14ac:dyDescent="0.25">
      <c r="B516" s="99"/>
    </row>
    <row r="517" spans="2:2" ht="14.25" customHeight="1" x14ac:dyDescent="0.25">
      <c r="B517" s="99"/>
    </row>
    <row r="518" spans="2:2" ht="14.25" customHeight="1" x14ac:dyDescent="0.25">
      <c r="B518" s="99"/>
    </row>
    <row r="519" spans="2:2" ht="14.25" customHeight="1" x14ac:dyDescent="0.25">
      <c r="B519" s="99"/>
    </row>
    <row r="520" spans="2:2" ht="14.25" customHeight="1" x14ac:dyDescent="0.25">
      <c r="B520" s="99"/>
    </row>
    <row r="521" spans="2:2" ht="14.25" customHeight="1" x14ac:dyDescent="0.25">
      <c r="B521" s="99"/>
    </row>
    <row r="522" spans="2:2" ht="14.25" customHeight="1" x14ac:dyDescent="0.25">
      <c r="B522" s="99"/>
    </row>
    <row r="523" spans="2:2" ht="14.25" customHeight="1" x14ac:dyDescent="0.25">
      <c r="B523" s="99"/>
    </row>
    <row r="524" spans="2:2" ht="14.25" customHeight="1" x14ac:dyDescent="0.25">
      <c r="B524" s="99"/>
    </row>
    <row r="525" spans="2:2" ht="14.25" customHeight="1" x14ac:dyDescent="0.25">
      <c r="B525" s="99"/>
    </row>
    <row r="526" spans="2:2" ht="14.25" customHeight="1" x14ac:dyDescent="0.25">
      <c r="B526" s="99"/>
    </row>
    <row r="527" spans="2:2" ht="14.25" customHeight="1" x14ac:dyDescent="0.25">
      <c r="B527" s="99"/>
    </row>
    <row r="528" spans="2:2" ht="14.25" customHeight="1" x14ac:dyDescent="0.25">
      <c r="B528" s="99"/>
    </row>
    <row r="529" spans="2:2" ht="14.25" customHeight="1" x14ac:dyDescent="0.25">
      <c r="B529" s="99"/>
    </row>
    <row r="530" spans="2:2" ht="14.25" customHeight="1" x14ac:dyDescent="0.25">
      <c r="B530" s="99"/>
    </row>
    <row r="531" spans="2:2" ht="14.25" customHeight="1" x14ac:dyDescent="0.25">
      <c r="B531" s="99"/>
    </row>
    <row r="532" spans="2:2" ht="14.25" customHeight="1" x14ac:dyDescent="0.25">
      <c r="B532" s="99"/>
    </row>
    <row r="533" spans="2:2" ht="14.25" customHeight="1" x14ac:dyDescent="0.25">
      <c r="B533" s="99"/>
    </row>
    <row r="534" spans="2:2" ht="14.25" customHeight="1" x14ac:dyDescent="0.25">
      <c r="B534" s="99"/>
    </row>
    <row r="535" spans="2:2" ht="14.25" customHeight="1" x14ac:dyDescent="0.25">
      <c r="B535" s="99"/>
    </row>
    <row r="536" spans="2:2" ht="14.25" customHeight="1" x14ac:dyDescent="0.25">
      <c r="B536" s="99"/>
    </row>
    <row r="537" spans="2:2" ht="14.25" customHeight="1" x14ac:dyDescent="0.25">
      <c r="B537" s="99"/>
    </row>
    <row r="538" spans="2:2" ht="14.25" customHeight="1" x14ac:dyDescent="0.25">
      <c r="B538" s="99"/>
    </row>
    <row r="539" spans="2:2" ht="14.25" customHeight="1" x14ac:dyDescent="0.25">
      <c r="B539" s="99"/>
    </row>
    <row r="540" spans="2:2" ht="14.25" customHeight="1" x14ac:dyDescent="0.25">
      <c r="B540" s="99"/>
    </row>
    <row r="541" spans="2:2" ht="14.25" customHeight="1" x14ac:dyDescent="0.25">
      <c r="B541" s="99"/>
    </row>
    <row r="542" spans="2:2" ht="14.25" customHeight="1" x14ac:dyDescent="0.25">
      <c r="B542" s="99"/>
    </row>
    <row r="543" spans="2:2" ht="14.25" customHeight="1" x14ac:dyDescent="0.25">
      <c r="B543" s="99"/>
    </row>
    <row r="544" spans="2:2" ht="14.25" customHeight="1" x14ac:dyDescent="0.25">
      <c r="B544" s="99"/>
    </row>
    <row r="545" spans="2:2" ht="14.25" customHeight="1" x14ac:dyDescent="0.25">
      <c r="B545" s="99"/>
    </row>
    <row r="546" spans="2:2" ht="14.25" customHeight="1" x14ac:dyDescent="0.25">
      <c r="B546" s="99"/>
    </row>
    <row r="547" spans="2:2" ht="14.25" customHeight="1" x14ac:dyDescent="0.25">
      <c r="B547" s="99"/>
    </row>
    <row r="548" spans="2:2" ht="14.25" customHeight="1" x14ac:dyDescent="0.25">
      <c r="B548" s="99"/>
    </row>
    <row r="549" spans="2:2" ht="14.25" customHeight="1" x14ac:dyDescent="0.25">
      <c r="B549" s="99"/>
    </row>
    <row r="550" spans="2:2" ht="14.25" customHeight="1" x14ac:dyDescent="0.25">
      <c r="B550" s="99"/>
    </row>
    <row r="551" spans="2:2" ht="14.25" customHeight="1" x14ac:dyDescent="0.25">
      <c r="B551" s="99"/>
    </row>
    <row r="552" spans="2:2" ht="14.25" customHeight="1" x14ac:dyDescent="0.25">
      <c r="B552" s="99"/>
    </row>
    <row r="553" spans="2:2" ht="14.25" customHeight="1" x14ac:dyDescent="0.25">
      <c r="B553" s="99"/>
    </row>
    <row r="554" spans="2:2" ht="14.25" customHeight="1" x14ac:dyDescent="0.25">
      <c r="B554" s="99"/>
    </row>
    <row r="555" spans="2:2" ht="14.25" customHeight="1" x14ac:dyDescent="0.25">
      <c r="B555" s="99"/>
    </row>
    <row r="556" spans="2:2" ht="14.25" customHeight="1" x14ac:dyDescent="0.25">
      <c r="B556" s="99"/>
    </row>
    <row r="557" spans="2:2" ht="14.25" customHeight="1" x14ac:dyDescent="0.25">
      <c r="B557" s="99"/>
    </row>
    <row r="558" spans="2:2" ht="14.25" customHeight="1" x14ac:dyDescent="0.25">
      <c r="B558" s="99"/>
    </row>
    <row r="559" spans="2:2" ht="14.25" customHeight="1" x14ac:dyDescent="0.25">
      <c r="B559" s="99"/>
    </row>
    <row r="560" spans="2:2" ht="14.25" customHeight="1" x14ac:dyDescent="0.25">
      <c r="B560" s="99"/>
    </row>
    <row r="561" spans="2:2" ht="14.25" customHeight="1" x14ac:dyDescent="0.25">
      <c r="B561" s="99"/>
    </row>
    <row r="562" spans="2:2" ht="14.25" customHeight="1" x14ac:dyDescent="0.25">
      <c r="B562" s="99"/>
    </row>
    <row r="563" spans="2:2" ht="14.25" customHeight="1" x14ac:dyDescent="0.25">
      <c r="B563" s="99"/>
    </row>
    <row r="564" spans="2:2" ht="14.25" customHeight="1" x14ac:dyDescent="0.25">
      <c r="B564" s="99"/>
    </row>
    <row r="565" spans="2:2" ht="14.25" customHeight="1" x14ac:dyDescent="0.25">
      <c r="B565" s="99"/>
    </row>
    <row r="566" spans="2:2" ht="14.25" customHeight="1" x14ac:dyDescent="0.25">
      <c r="B566" s="99"/>
    </row>
    <row r="567" spans="2:2" ht="14.25" customHeight="1" x14ac:dyDescent="0.25">
      <c r="B567" s="99"/>
    </row>
    <row r="568" spans="2:2" ht="14.25" customHeight="1" x14ac:dyDescent="0.25">
      <c r="B568" s="99"/>
    </row>
    <row r="569" spans="2:2" ht="14.25" customHeight="1" x14ac:dyDescent="0.25">
      <c r="B569" s="99"/>
    </row>
    <row r="570" spans="2:2" ht="14.25" customHeight="1" x14ac:dyDescent="0.25">
      <c r="B570" s="99"/>
    </row>
    <row r="571" spans="2:2" ht="14.25" customHeight="1" x14ac:dyDescent="0.25">
      <c r="B571" s="99"/>
    </row>
    <row r="572" spans="2:2" ht="14.25" customHeight="1" x14ac:dyDescent="0.25">
      <c r="B572" s="99"/>
    </row>
    <row r="573" spans="2:2" ht="14.25" customHeight="1" x14ac:dyDescent="0.25">
      <c r="B573" s="99"/>
    </row>
    <row r="574" spans="2:2" ht="14.25" customHeight="1" x14ac:dyDescent="0.25">
      <c r="B574" s="99"/>
    </row>
    <row r="575" spans="2:2" ht="14.25" customHeight="1" x14ac:dyDescent="0.25">
      <c r="B575" s="99"/>
    </row>
    <row r="576" spans="2:2" ht="14.25" customHeight="1" x14ac:dyDescent="0.25">
      <c r="B576" s="99"/>
    </row>
    <row r="577" spans="2:2" ht="14.25" customHeight="1" x14ac:dyDescent="0.25">
      <c r="B577" s="99"/>
    </row>
    <row r="578" spans="2:2" ht="14.25" customHeight="1" x14ac:dyDescent="0.25">
      <c r="B578" s="99"/>
    </row>
    <row r="579" spans="2:2" ht="14.25" customHeight="1" x14ac:dyDescent="0.25">
      <c r="B579" s="99"/>
    </row>
    <row r="580" spans="2:2" ht="14.25" customHeight="1" x14ac:dyDescent="0.25">
      <c r="B580" s="99"/>
    </row>
    <row r="581" spans="2:2" ht="14.25" customHeight="1" x14ac:dyDescent="0.25">
      <c r="B581" s="99"/>
    </row>
    <row r="582" spans="2:2" ht="14.25" customHeight="1" x14ac:dyDescent="0.25">
      <c r="B582" s="99"/>
    </row>
    <row r="583" spans="2:2" ht="14.25" customHeight="1" x14ac:dyDescent="0.25">
      <c r="B583" s="99"/>
    </row>
    <row r="584" spans="2:2" ht="14.25" customHeight="1" x14ac:dyDescent="0.25">
      <c r="B584" s="99"/>
    </row>
    <row r="585" spans="2:2" ht="14.25" customHeight="1" x14ac:dyDescent="0.25">
      <c r="B585" s="99"/>
    </row>
    <row r="586" spans="2:2" ht="14.25" customHeight="1" x14ac:dyDescent="0.25">
      <c r="B586" s="99"/>
    </row>
    <row r="587" spans="2:2" ht="14.25" customHeight="1" x14ac:dyDescent="0.25">
      <c r="B587" s="99"/>
    </row>
    <row r="588" spans="2:2" ht="14.25" customHeight="1" x14ac:dyDescent="0.25">
      <c r="B588" s="99"/>
    </row>
    <row r="589" spans="2:2" ht="14.25" customHeight="1" x14ac:dyDescent="0.25">
      <c r="B589" s="99"/>
    </row>
    <row r="590" spans="2:2" ht="14.25" customHeight="1" x14ac:dyDescent="0.25">
      <c r="B590" s="99"/>
    </row>
    <row r="591" spans="2:2" ht="14.25" customHeight="1" x14ac:dyDescent="0.25">
      <c r="B591" s="99"/>
    </row>
    <row r="592" spans="2:2" ht="14.25" customHeight="1" x14ac:dyDescent="0.25">
      <c r="B592" s="99"/>
    </row>
    <row r="593" spans="2:2" ht="14.25" customHeight="1" x14ac:dyDescent="0.25">
      <c r="B593" s="99"/>
    </row>
    <row r="594" spans="2:2" ht="14.25" customHeight="1" x14ac:dyDescent="0.25">
      <c r="B594" s="99"/>
    </row>
    <row r="595" spans="2:2" ht="14.25" customHeight="1" x14ac:dyDescent="0.25">
      <c r="B595" s="99"/>
    </row>
    <row r="596" spans="2:2" ht="14.25" customHeight="1" x14ac:dyDescent="0.25">
      <c r="B596" s="99"/>
    </row>
    <row r="597" spans="2:2" ht="14.25" customHeight="1" x14ac:dyDescent="0.25">
      <c r="B597" s="99"/>
    </row>
    <row r="598" spans="2:2" ht="14.25" customHeight="1" x14ac:dyDescent="0.25">
      <c r="B598" s="99"/>
    </row>
    <row r="599" spans="2:2" ht="14.25" customHeight="1" x14ac:dyDescent="0.25">
      <c r="B599" s="99"/>
    </row>
    <row r="600" spans="2:2" ht="14.25" customHeight="1" x14ac:dyDescent="0.25">
      <c r="B600" s="99"/>
    </row>
    <row r="601" spans="2:2" ht="14.25" customHeight="1" x14ac:dyDescent="0.25">
      <c r="B601" s="99"/>
    </row>
    <row r="602" spans="2:2" ht="14.25" customHeight="1" x14ac:dyDescent="0.25">
      <c r="B602" s="99"/>
    </row>
    <row r="603" spans="2:2" ht="14.25" customHeight="1" x14ac:dyDescent="0.25">
      <c r="B603" s="99"/>
    </row>
    <row r="604" spans="2:2" ht="14.25" customHeight="1" x14ac:dyDescent="0.25">
      <c r="B604" s="99"/>
    </row>
    <row r="605" spans="2:2" ht="14.25" customHeight="1" x14ac:dyDescent="0.25">
      <c r="B605" s="99"/>
    </row>
    <row r="606" spans="2:2" ht="14.25" customHeight="1" x14ac:dyDescent="0.25">
      <c r="B606" s="99"/>
    </row>
    <row r="607" spans="2:2" ht="14.25" customHeight="1" x14ac:dyDescent="0.25">
      <c r="B607" s="99"/>
    </row>
    <row r="608" spans="2:2" ht="14.25" customHeight="1" x14ac:dyDescent="0.25">
      <c r="B608" s="99"/>
    </row>
    <row r="609" spans="2:2" ht="14.25" customHeight="1" x14ac:dyDescent="0.25">
      <c r="B609" s="99"/>
    </row>
    <row r="610" spans="2:2" ht="14.25" customHeight="1" x14ac:dyDescent="0.25">
      <c r="B610" s="99"/>
    </row>
    <row r="611" spans="2:2" ht="14.25" customHeight="1" x14ac:dyDescent="0.25">
      <c r="B611" s="99"/>
    </row>
    <row r="612" spans="2:2" ht="14.25" customHeight="1" x14ac:dyDescent="0.25">
      <c r="B612" s="99"/>
    </row>
    <row r="613" spans="2:2" ht="14.25" customHeight="1" x14ac:dyDescent="0.25">
      <c r="B613" s="99"/>
    </row>
    <row r="614" spans="2:2" ht="14.25" customHeight="1" x14ac:dyDescent="0.25">
      <c r="B614" s="99"/>
    </row>
    <row r="615" spans="2:2" ht="14.25" customHeight="1" x14ac:dyDescent="0.25">
      <c r="B615" s="99"/>
    </row>
    <row r="616" spans="2:2" ht="14.25" customHeight="1" x14ac:dyDescent="0.25">
      <c r="B616" s="99"/>
    </row>
    <row r="617" spans="2:2" ht="14.25" customHeight="1" x14ac:dyDescent="0.25">
      <c r="B617" s="99"/>
    </row>
    <row r="618" spans="2:2" ht="14.25" customHeight="1" x14ac:dyDescent="0.25">
      <c r="B618" s="99"/>
    </row>
    <row r="619" spans="2:2" ht="14.25" customHeight="1" x14ac:dyDescent="0.25">
      <c r="B619" s="99"/>
    </row>
    <row r="620" spans="2:2" ht="14.25" customHeight="1" x14ac:dyDescent="0.25">
      <c r="B620" s="99"/>
    </row>
    <row r="621" spans="2:2" ht="14.25" customHeight="1" x14ac:dyDescent="0.25">
      <c r="B621" s="99"/>
    </row>
    <row r="622" spans="2:2" ht="14.25" customHeight="1" x14ac:dyDescent="0.25">
      <c r="B622" s="99"/>
    </row>
    <row r="623" spans="2:2" ht="14.25" customHeight="1" x14ac:dyDescent="0.25">
      <c r="B623" s="99"/>
    </row>
    <row r="624" spans="2:2" ht="14.25" customHeight="1" x14ac:dyDescent="0.25">
      <c r="B624" s="99"/>
    </row>
    <row r="625" spans="2:2" ht="14.25" customHeight="1" x14ac:dyDescent="0.25">
      <c r="B625" s="99"/>
    </row>
    <row r="626" spans="2:2" ht="14.25" customHeight="1" x14ac:dyDescent="0.25">
      <c r="B626" s="99"/>
    </row>
    <row r="627" spans="2:2" ht="14.25" customHeight="1" x14ac:dyDescent="0.25">
      <c r="B627" s="99"/>
    </row>
    <row r="628" spans="2:2" ht="14.25" customHeight="1" x14ac:dyDescent="0.25">
      <c r="B628" s="99"/>
    </row>
    <row r="629" spans="2:2" ht="14.25" customHeight="1" x14ac:dyDescent="0.25">
      <c r="B629" s="99"/>
    </row>
    <row r="630" spans="2:2" ht="14.25" customHeight="1" x14ac:dyDescent="0.25">
      <c r="B630" s="99"/>
    </row>
    <row r="631" spans="2:2" ht="14.25" customHeight="1" x14ac:dyDescent="0.25">
      <c r="B631" s="99"/>
    </row>
    <row r="632" spans="2:2" ht="14.25" customHeight="1" x14ac:dyDescent="0.25">
      <c r="B632" s="99"/>
    </row>
    <row r="633" spans="2:2" ht="14.25" customHeight="1" x14ac:dyDescent="0.25">
      <c r="B633" s="99"/>
    </row>
    <row r="634" spans="2:2" ht="14.25" customHeight="1" x14ac:dyDescent="0.25">
      <c r="B634" s="99"/>
    </row>
    <row r="635" spans="2:2" ht="14.25" customHeight="1" x14ac:dyDescent="0.25">
      <c r="B635" s="99"/>
    </row>
    <row r="636" spans="2:2" ht="14.25" customHeight="1" x14ac:dyDescent="0.25">
      <c r="B636" s="99"/>
    </row>
    <row r="637" spans="2:2" ht="14.25" customHeight="1" x14ac:dyDescent="0.25">
      <c r="B637" s="99"/>
    </row>
    <row r="638" spans="2:2" ht="14.25" customHeight="1" x14ac:dyDescent="0.25">
      <c r="B638" s="99"/>
    </row>
    <row r="639" spans="2:2" ht="14.25" customHeight="1" x14ac:dyDescent="0.25">
      <c r="B639" s="99"/>
    </row>
    <row r="640" spans="2:2" ht="14.25" customHeight="1" x14ac:dyDescent="0.25">
      <c r="B640" s="99"/>
    </row>
    <row r="641" spans="2:2" ht="14.25" customHeight="1" x14ac:dyDescent="0.25">
      <c r="B641" s="99"/>
    </row>
    <row r="642" spans="2:2" ht="14.25" customHeight="1" x14ac:dyDescent="0.25">
      <c r="B642" s="99"/>
    </row>
    <row r="643" spans="2:2" ht="14.25" customHeight="1" x14ac:dyDescent="0.25">
      <c r="B643" s="99"/>
    </row>
    <row r="644" spans="2:2" ht="14.25" customHeight="1" x14ac:dyDescent="0.25">
      <c r="B644" s="99"/>
    </row>
    <row r="645" spans="2:2" ht="14.25" customHeight="1" x14ac:dyDescent="0.25">
      <c r="B645" s="99"/>
    </row>
    <row r="646" spans="2:2" ht="14.25" customHeight="1" x14ac:dyDescent="0.25">
      <c r="B646" s="99"/>
    </row>
    <row r="647" spans="2:2" ht="14.25" customHeight="1" x14ac:dyDescent="0.25">
      <c r="B647" s="99"/>
    </row>
    <row r="648" spans="2:2" ht="14.25" customHeight="1" x14ac:dyDescent="0.25">
      <c r="B648" s="99"/>
    </row>
    <row r="649" spans="2:2" ht="14.25" customHeight="1" x14ac:dyDescent="0.25">
      <c r="B649" s="99"/>
    </row>
    <row r="650" spans="2:2" ht="14.25" customHeight="1" x14ac:dyDescent="0.25">
      <c r="B650" s="99"/>
    </row>
    <row r="651" spans="2:2" ht="14.25" customHeight="1" x14ac:dyDescent="0.25">
      <c r="B651" s="99"/>
    </row>
    <row r="652" spans="2:2" ht="14.25" customHeight="1" x14ac:dyDescent="0.25">
      <c r="B652" s="99"/>
    </row>
    <row r="653" spans="2:2" ht="14.25" customHeight="1" x14ac:dyDescent="0.25">
      <c r="B653" s="99"/>
    </row>
    <row r="654" spans="2:2" ht="14.25" customHeight="1" x14ac:dyDescent="0.25">
      <c r="B654" s="99"/>
    </row>
    <row r="655" spans="2:2" ht="14.25" customHeight="1" x14ac:dyDescent="0.25">
      <c r="B655" s="99"/>
    </row>
    <row r="656" spans="2:2" ht="14.25" customHeight="1" x14ac:dyDescent="0.25">
      <c r="B656" s="99"/>
    </row>
    <row r="657" spans="2:2" ht="14.25" customHeight="1" x14ac:dyDescent="0.25">
      <c r="B657" s="99"/>
    </row>
    <row r="658" spans="2:2" ht="14.25" customHeight="1" x14ac:dyDescent="0.25">
      <c r="B658" s="99"/>
    </row>
    <row r="659" spans="2:2" ht="14.25" customHeight="1" x14ac:dyDescent="0.25">
      <c r="B659" s="99"/>
    </row>
    <row r="660" spans="2:2" ht="14.25" customHeight="1" x14ac:dyDescent="0.25">
      <c r="B660" s="99"/>
    </row>
    <row r="661" spans="2:2" ht="14.25" customHeight="1" x14ac:dyDescent="0.25">
      <c r="B661" s="99"/>
    </row>
    <row r="662" spans="2:2" ht="14.25" customHeight="1" x14ac:dyDescent="0.25">
      <c r="B662" s="99"/>
    </row>
    <row r="663" spans="2:2" ht="14.25" customHeight="1" x14ac:dyDescent="0.25">
      <c r="B663" s="99"/>
    </row>
    <row r="664" spans="2:2" ht="14.25" customHeight="1" x14ac:dyDescent="0.25">
      <c r="B664" s="99"/>
    </row>
    <row r="665" spans="2:2" ht="14.25" customHeight="1" x14ac:dyDescent="0.25">
      <c r="B665" s="99"/>
    </row>
    <row r="666" spans="2:2" ht="14.25" customHeight="1" x14ac:dyDescent="0.25">
      <c r="B666" s="99"/>
    </row>
    <row r="667" spans="2:2" ht="14.25" customHeight="1" x14ac:dyDescent="0.25">
      <c r="B667" s="99"/>
    </row>
    <row r="668" spans="2:2" ht="14.25" customHeight="1" x14ac:dyDescent="0.25">
      <c r="B668" s="99"/>
    </row>
    <row r="669" spans="2:2" ht="14.25" customHeight="1" x14ac:dyDescent="0.25">
      <c r="B669" s="99"/>
    </row>
    <row r="670" spans="2:2" ht="14.25" customHeight="1" x14ac:dyDescent="0.25">
      <c r="B670" s="99"/>
    </row>
    <row r="671" spans="2:2" ht="14.25" customHeight="1" x14ac:dyDescent="0.25">
      <c r="B671" s="99"/>
    </row>
    <row r="672" spans="2:2" ht="14.25" customHeight="1" x14ac:dyDescent="0.25">
      <c r="B672" s="99"/>
    </row>
    <row r="673" spans="2:2" ht="14.25" customHeight="1" x14ac:dyDescent="0.25">
      <c r="B673" s="99"/>
    </row>
    <row r="674" spans="2:2" ht="14.25" customHeight="1" x14ac:dyDescent="0.25">
      <c r="B674" s="99"/>
    </row>
    <row r="675" spans="2:2" ht="14.25" customHeight="1" x14ac:dyDescent="0.25">
      <c r="B675" s="99"/>
    </row>
    <row r="676" spans="2:2" ht="14.25" customHeight="1" x14ac:dyDescent="0.25">
      <c r="B676" s="99"/>
    </row>
    <row r="677" spans="2:2" ht="14.25" customHeight="1" x14ac:dyDescent="0.25">
      <c r="B677" s="99"/>
    </row>
    <row r="678" spans="2:2" ht="14.25" customHeight="1" x14ac:dyDescent="0.25">
      <c r="B678" s="99"/>
    </row>
    <row r="679" spans="2:2" ht="14.25" customHeight="1" x14ac:dyDescent="0.25">
      <c r="B679" s="99"/>
    </row>
    <row r="680" spans="2:2" ht="14.25" customHeight="1" x14ac:dyDescent="0.25">
      <c r="B680" s="99"/>
    </row>
    <row r="681" spans="2:2" ht="14.25" customHeight="1" x14ac:dyDescent="0.25">
      <c r="B681" s="99"/>
    </row>
    <row r="682" spans="2:2" ht="14.25" customHeight="1" x14ac:dyDescent="0.25">
      <c r="B682" s="99"/>
    </row>
    <row r="683" spans="2:2" ht="14.25" customHeight="1" x14ac:dyDescent="0.25">
      <c r="B683" s="99"/>
    </row>
    <row r="684" spans="2:2" ht="14.25" customHeight="1" x14ac:dyDescent="0.25">
      <c r="B684" s="99"/>
    </row>
    <row r="685" spans="2:2" ht="14.25" customHeight="1" x14ac:dyDescent="0.25">
      <c r="B685" s="99"/>
    </row>
    <row r="686" spans="2:2" ht="14.25" customHeight="1" x14ac:dyDescent="0.25">
      <c r="B686" s="99"/>
    </row>
    <row r="687" spans="2:2" ht="14.25" customHeight="1" x14ac:dyDescent="0.25">
      <c r="B687" s="99"/>
    </row>
    <row r="688" spans="2:2" ht="14.25" customHeight="1" x14ac:dyDescent="0.25">
      <c r="B688" s="99"/>
    </row>
    <row r="689" spans="2:2" ht="14.25" customHeight="1" x14ac:dyDescent="0.25">
      <c r="B689" s="99"/>
    </row>
    <row r="690" spans="2:2" ht="14.25" customHeight="1" x14ac:dyDescent="0.25">
      <c r="B690" s="99"/>
    </row>
    <row r="691" spans="2:2" ht="14.25" customHeight="1" x14ac:dyDescent="0.25">
      <c r="B691" s="99"/>
    </row>
    <row r="692" spans="2:2" ht="14.25" customHeight="1" x14ac:dyDescent="0.25">
      <c r="B692" s="99"/>
    </row>
    <row r="693" spans="2:2" ht="14.25" customHeight="1" x14ac:dyDescent="0.25">
      <c r="B693" s="99"/>
    </row>
    <row r="694" spans="2:2" ht="14.25" customHeight="1" x14ac:dyDescent="0.25">
      <c r="B694" s="99"/>
    </row>
    <row r="695" spans="2:2" ht="14.25" customHeight="1" x14ac:dyDescent="0.25">
      <c r="B695" s="99"/>
    </row>
    <row r="696" spans="2:2" ht="14.25" customHeight="1" x14ac:dyDescent="0.25">
      <c r="B696" s="99"/>
    </row>
    <row r="697" spans="2:2" ht="14.25" customHeight="1" x14ac:dyDescent="0.25">
      <c r="B697" s="99"/>
    </row>
    <row r="698" spans="2:2" ht="14.25" customHeight="1" x14ac:dyDescent="0.25">
      <c r="B698" s="99"/>
    </row>
    <row r="699" spans="2:2" ht="14.25" customHeight="1" x14ac:dyDescent="0.25">
      <c r="B699" s="99"/>
    </row>
    <row r="700" spans="2:2" ht="14.25" customHeight="1" x14ac:dyDescent="0.25">
      <c r="B700" s="99"/>
    </row>
    <row r="701" spans="2:2" ht="14.25" customHeight="1" x14ac:dyDescent="0.25">
      <c r="B701" s="99"/>
    </row>
    <row r="702" spans="2:2" ht="14.25" customHeight="1" x14ac:dyDescent="0.25">
      <c r="B702" s="99"/>
    </row>
    <row r="703" spans="2:2" ht="14.25" customHeight="1" x14ac:dyDescent="0.25">
      <c r="B703" s="99"/>
    </row>
    <row r="704" spans="2:2" ht="14.25" customHeight="1" x14ac:dyDescent="0.25">
      <c r="B704" s="99"/>
    </row>
    <row r="705" spans="2:2" ht="14.25" customHeight="1" x14ac:dyDescent="0.25">
      <c r="B705" s="99"/>
    </row>
    <row r="706" spans="2:2" ht="14.25" customHeight="1" x14ac:dyDescent="0.25">
      <c r="B706" s="99"/>
    </row>
    <row r="707" spans="2:2" ht="14.25" customHeight="1" x14ac:dyDescent="0.25">
      <c r="B707" s="99"/>
    </row>
    <row r="708" spans="2:2" ht="14.25" customHeight="1" x14ac:dyDescent="0.25">
      <c r="B708" s="99"/>
    </row>
    <row r="709" spans="2:2" ht="14.25" customHeight="1" x14ac:dyDescent="0.25">
      <c r="B709" s="99"/>
    </row>
    <row r="710" spans="2:2" ht="14.25" customHeight="1" x14ac:dyDescent="0.25">
      <c r="B710" s="99"/>
    </row>
    <row r="711" spans="2:2" ht="14.25" customHeight="1" x14ac:dyDescent="0.25">
      <c r="B711" s="99"/>
    </row>
    <row r="712" spans="2:2" ht="14.25" customHeight="1" x14ac:dyDescent="0.25">
      <c r="B712" s="99"/>
    </row>
    <row r="713" spans="2:2" ht="14.25" customHeight="1" x14ac:dyDescent="0.25">
      <c r="B713" s="99"/>
    </row>
    <row r="714" spans="2:2" ht="14.25" customHeight="1" x14ac:dyDescent="0.25">
      <c r="B714" s="99"/>
    </row>
    <row r="715" spans="2:2" ht="14.25" customHeight="1" x14ac:dyDescent="0.25">
      <c r="B715" s="99"/>
    </row>
    <row r="716" spans="2:2" ht="14.25" customHeight="1" x14ac:dyDescent="0.25">
      <c r="B716" s="99"/>
    </row>
    <row r="717" spans="2:2" ht="14.25" customHeight="1" x14ac:dyDescent="0.25">
      <c r="B717" s="99"/>
    </row>
    <row r="718" spans="2:2" ht="14.25" customHeight="1" x14ac:dyDescent="0.25">
      <c r="B718" s="99"/>
    </row>
    <row r="719" spans="2:2" ht="14.25" customHeight="1" x14ac:dyDescent="0.25">
      <c r="B719" s="99"/>
    </row>
    <row r="720" spans="2:2" ht="14.25" customHeight="1" x14ac:dyDescent="0.25">
      <c r="B720" s="99"/>
    </row>
    <row r="721" spans="2:2" ht="14.25" customHeight="1" x14ac:dyDescent="0.25">
      <c r="B721" s="99"/>
    </row>
    <row r="722" spans="2:2" ht="14.25" customHeight="1" x14ac:dyDescent="0.25">
      <c r="B722" s="99"/>
    </row>
    <row r="723" spans="2:2" ht="14.25" customHeight="1" x14ac:dyDescent="0.25">
      <c r="B723" s="99"/>
    </row>
    <row r="724" spans="2:2" ht="14.25" customHeight="1" x14ac:dyDescent="0.25">
      <c r="B724" s="99"/>
    </row>
    <row r="725" spans="2:2" ht="14.25" customHeight="1" x14ac:dyDescent="0.25">
      <c r="B725" s="99"/>
    </row>
    <row r="726" spans="2:2" ht="14.25" customHeight="1" x14ac:dyDescent="0.25">
      <c r="B726" s="99"/>
    </row>
    <row r="727" spans="2:2" ht="14.25" customHeight="1" x14ac:dyDescent="0.25">
      <c r="B727" s="99"/>
    </row>
    <row r="728" spans="2:2" ht="14.25" customHeight="1" x14ac:dyDescent="0.25">
      <c r="B728" s="99"/>
    </row>
    <row r="729" spans="2:2" ht="14.25" customHeight="1" x14ac:dyDescent="0.25">
      <c r="B729" s="99"/>
    </row>
    <row r="730" spans="2:2" ht="14.25" customHeight="1" x14ac:dyDescent="0.25">
      <c r="B730" s="99"/>
    </row>
    <row r="731" spans="2:2" ht="14.25" customHeight="1" x14ac:dyDescent="0.25">
      <c r="B731" s="99"/>
    </row>
    <row r="732" spans="2:2" ht="14.25" customHeight="1" x14ac:dyDescent="0.25">
      <c r="B732" s="99"/>
    </row>
    <row r="733" spans="2:2" ht="14.25" customHeight="1" x14ac:dyDescent="0.25">
      <c r="B733" s="99"/>
    </row>
    <row r="734" spans="2:2" ht="14.25" customHeight="1" x14ac:dyDescent="0.25">
      <c r="B734" s="99"/>
    </row>
    <row r="735" spans="2:2" ht="14.25" customHeight="1" x14ac:dyDescent="0.25">
      <c r="B735" s="99"/>
    </row>
    <row r="736" spans="2:2" ht="14.25" customHeight="1" x14ac:dyDescent="0.25">
      <c r="B736" s="99"/>
    </row>
    <row r="737" spans="2:2" ht="14.25" customHeight="1" x14ac:dyDescent="0.25">
      <c r="B737" s="99"/>
    </row>
    <row r="738" spans="2:2" ht="14.25" customHeight="1" x14ac:dyDescent="0.25">
      <c r="B738" s="99"/>
    </row>
    <row r="739" spans="2:2" ht="14.25" customHeight="1" x14ac:dyDescent="0.25">
      <c r="B739" s="99"/>
    </row>
    <row r="740" spans="2:2" ht="14.25" customHeight="1" x14ac:dyDescent="0.25">
      <c r="B740" s="99"/>
    </row>
    <row r="741" spans="2:2" ht="14.25" customHeight="1" x14ac:dyDescent="0.25">
      <c r="B741" s="99"/>
    </row>
    <row r="742" spans="2:2" ht="14.25" customHeight="1" x14ac:dyDescent="0.25">
      <c r="B742" s="99"/>
    </row>
    <row r="743" spans="2:2" ht="14.25" customHeight="1" x14ac:dyDescent="0.25">
      <c r="B743" s="99"/>
    </row>
    <row r="744" spans="2:2" ht="14.25" customHeight="1" x14ac:dyDescent="0.25">
      <c r="B744" s="99"/>
    </row>
    <row r="745" spans="2:2" ht="14.25" customHeight="1" x14ac:dyDescent="0.25">
      <c r="B745" s="99"/>
    </row>
    <row r="746" spans="2:2" ht="14.25" customHeight="1" x14ac:dyDescent="0.25">
      <c r="B746" s="99"/>
    </row>
    <row r="747" spans="2:2" ht="14.25" customHeight="1" x14ac:dyDescent="0.25">
      <c r="B747" s="99"/>
    </row>
    <row r="748" spans="2:2" ht="14.25" customHeight="1" x14ac:dyDescent="0.25">
      <c r="B748" s="99"/>
    </row>
    <row r="749" spans="2:2" ht="14.25" customHeight="1" x14ac:dyDescent="0.25">
      <c r="B749" s="99"/>
    </row>
    <row r="750" spans="2:2" ht="14.25" customHeight="1" x14ac:dyDescent="0.25">
      <c r="B750" s="99"/>
    </row>
    <row r="751" spans="2:2" ht="14.25" customHeight="1" x14ac:dyDescent="0.25">
      <c r="B751" s="99"/>
    </row>
    <row r="752" spans="2:2" ht="14.25" customHeight="1" x14ac:dyDescent="0.25">
      <c r="B752" s="99"/>
    </row>
    <row r="753" spans="2:2" ht="14.25" customHeight="1" x14ac:dyDescent="0.25">
      <c r="B753" s="99"/>
    </row>
    <row r="754" spans="2:2" ht="14.25" customHeight="1" x14ac:dyDescent="0.25">
      <c r="B754" s="99"/>
    </row>
    <row r="755" spans="2:2" ht="14.25" customHeight="1" x14ac:dyDescent="0.25">
      <c r="B755" s="99"/>
    </row>
    <row r="756" spans="2:2" ht="14.25" customHeight="1" x14ac:dyDescent="0.25">
      <c r="B756" s="99"/>
    </row>
    <row r="757" spans="2:2" ht="14.25" customHeight="1" x14ac:dyDescent="0.25">
      <c r="B757" s="99"/>
    </row>
    <row r="758" spans="2:2" ht="14.25" customHeight="1" x14ac:dyDescent="0.25">
      <c r="B758" s="99"/>
    </row>
    <row r="759" spans="2:2" ht="14.25" customHeight="1" x14ac:dyDescent="0.25">
      <c r="B759" s="99"/>
    </row>
    <row r="760" spans="2:2" ht="14.25" customHeight="1" x14ac:dyDescent="0.25">
      <c r="B760" s="99"/>
    </row>
    <row r="761" spans="2:2" ht="14.25" customHeight="1" x14ac:dyDescent="0.25">
      <c r="B761" s="99"/>
    </row>
    <row r="762" spans="2:2" ht="14.25" customHeight="1" x14ac:dyDescent="0.25">
      <c r="B762" s="99"/>
    </row>
    <row r="763" spans="2:2" ht="14.25" customHeight="1" x14ac:dyDescent="0.25">
      <c r="B763" s="99"/>
    </row>
    <row r="764" spans="2:2" ht="14.25" customHeight="1" x14ac:dyDescent="0.25">
      <c r="B764" s="99"/>
    </row>
    <row r="765" spans="2:2" ht="14.25" customHeight="1" x14ac:dyDescent="0.25">
      <c r="B765" s="99"/>
    </row>
    <row r="766" spans="2:2" ht="14.25" customHeight="1" x14ac:dyDescent="0.25">
      <c r="B766" s="99"/>
    </row>
    <row r="767" spans="2:2" ht="14.25" customHeight="1" x14ac:dyDescent="0.25">
      <c r="B767" s="99"/>
    </row>
    <row r="768" spans="2:2" ht="14.25" customHeight="1" x14ac:dyDescent="0.25">
      <c r="B768" s="99"/>
    </row>
    <row r="769" spans="2:2" ht="14.25" customHeight="1" x14ac:dyDescent="0.25">
      <c r="B769" s="99"/>
    </row>
    <row r="770" spans="2:2" ht="14.25" customHeight="1" x14ac:dyDescent="0.25">
      <c r="B770" s="99"/>
    </row>
    <row r="771" spans="2:2" ht="14.25" customHeight="1" x14ac:dyDescent="0.25">
      <c r="B771" s="99"/>
    </row>
    <row r="772" spans="2:2" ht="14.25" customHeight="1" x14ac:dyDescent="0.25">
      <c r="B772" s="99"/>
    </row>
    <row r="773" spans="2:2" ht="14.25" customHeight="1" x14ac:dyDescent="0.25">
      <c r="B773" s="99"/>
    </row>
    <row r="774" spans="2:2" ht="14.25" customHeight="1" x14ac:dyDescent="0.25">
      <c r="B774" s="99"/>
    </row>
    <row r="775" spans="2:2" ht="14.25" customHeight="1" x14ac:dyDescent="0.25">
      <c r="B775" s="99"/>
    </row>
    <row r="776" spans="2:2" ht="14.25" customHeight="1" x14ac:dyDescent="0.25">
      <c r="B776" s="99"/>
    </row>
    <row r="777" spans="2:2" ht="14.25" customHeight="1" x14ac:dyDescent="0.25">
      <c r="B777" s="99"/>
    </row>
    <row r="778" spans="2:2" ht="14.25" customHeight="1" x14ac:dyDescent="0.25">
      <c r="B778" s="99"/>
    </row>
    <row r="779" spans="2:2" ht="14.25" customHeight="1" x14ac:dyDescent="0.25">
      <c r="B779" s="99"/>
    </row>
    <row r="780" spans="2:2" ht="14.25" customHeight="1" x14ac:dyDescent="0.25">
      <c r="B780" s="99"/>
    </row>
    <row r="781" spans="2:2" ht="14.25" customHeight="1" x14ac:dyDescent="0.25">
      <c r="B781" s="99"/>
    </row>
    <row r="782" spans="2:2" ht="14.25" customHeight="1" x14ac:dyDescent="0.25">
      <c r="B782" s="99"/>
    </row>
    <row r="783" spans="2:2" ht="14.25" customHeight="1" x14ac:dyDescent="0.25">
      <c r="B783" s="99"/>
    </row>
    <row r="784" spans="2:2" ht="14.25" customHeight="1" x14ac:dyDescent="0.25">
      <c r="B784" s="99"/>
    </row>
    <row r="785" spans="2:2" ht="14.25" customHeight="1" x14ac:dyDescent="0.25">
      <c r="B785" s="99"/>
    </row>
    <row r="786" spans="2:2" ht="14.25" customHeight="1" x14ac:dyDescent="0.25">
      <c r="B786" s="99"/>
    </row>
    <row r="787" spans="2:2" ht="14.25" customHeight="1" x14ac:dyDescent="0.25">
      <c r="B787" s="99"/>
    </row>
    <row r="788" spans="2:2" ht="14.25" customHeight="1" x14ac:dyDescent="0.25">
      <c r="B788" s="99"/>
    </row>
    <row r="789" spans="2:2" ht="14.25" customHeight="1" x14ac:dyDescent="0.25">
      <c r="B789" s="99"/>
    </row>
    <row r="790" spans="2:2" ht="14.25" customHeight="1" x14ac:dyDescent="0.25">
      <c r="B790" s="99"/>
    </row>
    <row r="791" spans="2:2" ht="14.25" customHeight="1" x14ac:dyDescent="0.25">
      <c r="B791" s="99"/>
    </row>
    <row r="792" spans="2:2" ht="14.25" customHeight="1" x14ac:dyDescent="0.25">
      <c r="B792" s="99"/>
    </row>
    <row r="793" spans="2:2" ht="14.25" customHeight="1" x14ac:dyDescent="0.25">
      <c r="B793" s="99"/>
    </row>
    <row r="794" spans="2:2" ht="14.25" customHeight="1" x14ac:dyDescent="0.25">
      <c r="B794" s="99"/>
    </row>
    <row r="795" spans="2:2" ht="14.25" customHeight="1" x14ac:dyDescent="0.25">
      <c r="B795" s="99"/>
    </row>
    <row r="796" spans="2:2" ht="14.25" customHeight="1" x14ac:dyDescent="0.25">
      <c r="B796" s="99"/>
    </row>
    <row r="797" spans="2:2" ht="14.25" customHeight="1" x14ac:dyDescent="0.25">
      <c r="B797" s="99"/>
    </row>
    <row r="798" spans="2:2" ht="14.25" customHeight="1" x14ac:dyDescent="0.25">
      <c r="B798" s="99"/>
    </row>
    <row r="799" spans="2:2" ht="14.25" customHeight="1" x14ac:dyDescent="0.25">
      <c r="B799" s="99"/>
    </row>
    <row r="800" spans="2:2" ht="14.25" customHeight="1" x14ac:dyDescent="0.25">
      <c r="B800" s="99"/>
    </row>
    <row r="801" spans="2:2" ht="14.25" customHeight="1" x14ac:dyDescent="0.25">
      <c r="B801" s="99"/>
    </row>
    <row r="802" spans="2:2" ht="14.25" customHeight="1" x14ac:dyDescent="0.25">
      <c r="B802" s="99"/>
    </row>
    <row r="803" spans="2:2" ht="14.25" customHeight="1" x14ac:dyDescent="0.25">
      <c r="B803" s="99"/>
    </row>
    <row r="804" spans="2:2" ht="14.25" customHeight="1" x14ac:dyDescent="0.25">
      <c r="B804" s="99"/>
    </row>
    <row r="805" spans="2:2" ht="14.25" customHeight="1" x14ac:dyDescent="0.25">
      <c r="B805" s="99"/>
    </row>
    <row r="806" spans="2:2" ht="14.25" customHeight="1" x14ac:dyDescent="0.25">
      <c r="B806" s="99"/>
    </row>
    <row r="807" spans="2:2" ht="14.25" customHeight="1" x14ac:dyDescent="0.25">
      <c r="B807" s="99"/>
    </row>
    <row r="808" spans="2:2" ht="14.25" customHeight="1" x14ac:dyDescent="0.25">
      <c r="B808" s="99"/>
    </row>
    <row r="809" spans="2:2" ht="14.25" customHeight="1" x14ac:dyDescent="0.25">
      <c r="B809" s="99"/>
    </row>
    <row r="810" spans="2:2" ht="14.25" customHeight="1" x14ac:dyDescent="0.25">
      <c r="B810" s="99"/>
    </row>
    <row r="811" spans="2:2" ht="14.25" customHeight="1" x14ac:dyDescent="0.25">
      <c r="B811" s="99"/>
    </row>
    <row r="812" spans="2:2" ht="14.25" customHeight="1" x14ac:dyDescent="0.25">
      <c r="B812" s="99"/>
    </row>
    <row r="813" spans="2:2" ht="14.25" customHeight="1" x14ac:dyDescent="0.25">
      <c r="B813" s="99"/>
    </row>
    <row r="814" spans="2:2" ht="14.25" customHeight="1" x14ac:dyDescent="0.25">
      <c r="B814" s="99"/>
    </row>
    <row r="815" spans="2:2" ht="14.25" customHeight="1" x14ac:dyDescent="0.25">
      <c r="B815" s="99"/>
    </row>
    <row r="816" spans="2:2" ht="14.25" customHeight="1" x14ac:dyDescent="0.25">
      <c r="B816" s="99"/>
    </row>
    <row r="817" spans="2:2" ht="14.25" customHeight="1" x14ac:dyDescent="0.25">
      <c r="B817" s="99"/>
    </row>
    <row r="818" spans="2:2" ht="14.25" customHeight="1" x14ac:dyDescent="0.25">
      <c r="B818" s="99"/>
    </row>
    <row r="819" spans="2:2" ht="14.25" customHeight="1" x14ac:dyDescent="0.25">
      <c r="B819" s="99"/>
    </row>
    <row r="820" spans="2:2" ht="14.25" customHeight="1" x14ac:dyDescent="0.25">
      <c r="B820" s="99"/>
    </row>
    <row r="821" spans="2:2" ht="14.25" customHeight="1" x14ac:dyDescent="0.25">
      <c r="B821" s="99"/>
    </row>
    <row r="822" spans="2:2" ht="14.25" customHeight="1" x14ac:dyDescent="0.25">
      <c r="B822" s="99"/>
    </row>
    <row r="823" spans="2:2" ht="14.25" customHeight="1" x14ac:dyDescent="0.25">
      <c r="B823" s="99"/>
    </row>
    <row r="824" spans="2:2" ht="14.25" customHeight="1" x14ac:dyDescent="0.25">
      <c r="B824" s="99"/>
    </row>
    <row r="825" spans="2:2" ht="14.25" customHeight="1" x14ac:dyDescent="0.25">
      <c r="B825" s="99"/>
    </row>
    <row r="826" spans="2:2" ht="14.25" customHeight="1" x14ac:dyDescent="0.25">
      <c r="B826" s="99"/>
    </row>
    <row r="827" spans="2:2" ht="14.25" customHeight="1" x14ac:dyDescent="0.25">
      <c r="B827" s="99"/>
    </row>
    <row r="828" spans="2:2" ht="14.25" customHeight="1" x14ac:dyDescent="0.25">
      <c r="B828" s="99"/>
    </row>
    <row r="829" spans="2:2" ht="14.25" customHeight="1" x14ac:dyDescent="0.25">
      <c r="B829" s="99"/>
    </row>
    <row r="830" spans="2:2" ht="14.25" customHeight="1" x14ac:dyDescent="0.25">
      <c r="B830" s="99"/>
    </row>
    <row r="831" spans="2:2" ht="14.25" customHeight="1" x14ac:dyDescent="0.25">
      <c r="B831" s="99"/>
    </row>
    <row r="832" spans="2:2" ht="14.25" customHeight="1" x14ac:dyDescent="0.25">
      <c r="B832" s="99"/>
    </row>
    <row r="833" spans="2:2" ht="14.25" customHeight="1" x14ac:dyDescent="0.25">
      <c r="B833" s="99"/>
    </row>
    <row r="834" spans="2:2" ht="14.25" customHeight="1" x14ac:dyDescent="0.25">
      <c r="B834" s="99"/>
    </row>
    <row r="835" spans="2:2" ht="14.25" customHeight="1" x14ac:dyDescent="0.25">
      <c r="B835" s="99"/>
    </row>
    <row r="836" spans="2:2" ht="14.25" customHeight="1" x14ac:dyDescent="0.25">
      <c r="B836" s="99"/>
    </row>
    <row r="837" spans="2:2" ht="14.25" customHeight="1" x14ac:dyDescent="0.25">
      <c r="B837" s="99"/>
    </row>
    <row r="838" spans="2:2" ht="14.25" customHeight="1" x14ac:dyDescent="0.25">
      <c r="B838" s="99"/>
    </row>
    <row r="839" spans="2:2" ht="14.25" customHeight="1" x14ac:dyDescent="0.25">
      <c r="B839" s="99"/>
    </row>
    <row r="840" spans="2:2" ht="14.25" customHeight="1" x14ac:dyDescent="0.25">
      <c r="B840" s="99"/>
    </row>
    <row r="841" spans="2:2" ht="14.25" customHeight="1" x14ac:dyDescent="0.25">
      <c r="B841" s="99"/>
    </row>
    <row r="842" spans="2:2" ht="14.25" customHeight="1" x14ac:dyDescent="0.25">
      <c r="B842" s="99"/>
    </row>
    <row r="843" spans="2:2" ht="14.25" customHeight="1" x14ac:dyDescent="0.25">
      <c r="B843" s="99"/>
    </row>
    <row r="844" spans="2:2" ht="14.25" customHeight="1" x14ac:dyDescent="0.25">
      <c r="B844" s="99"/>
    </row>
    <row r="845" spans="2:2" ht="14.25" customHeight="1" x14ac:dyDescent="0.25">
      <c r="B845" s="99"/>
    </row>
    <row r="846" spans="2:2" ht="14.25" customHeight="1" x14ac:dyDescent="0.25">
      <c r="B846" s="99"/>
    </row>
    <row r="847" spans="2:2" ht="14.25" customHeight="1" x14ac:dyDescent="0.25">
      <c r="B847" s="99"/>
    </row>
    <row r="848" spans="2:2" ht="14.25" customHeight="1" x14ac:dyDescent="0.25">
      <c r="B848" s="99"/>
    </row>
    <row r="849" spans="2:2" ht="14.25" customHeight="1" x14ac:dyDescent="0.25">
      <c r="B849" s="99"/>
    </row>
    <row r="850" spans="2:2" ht="14.25" customHeight="1" x14ac:dyDescent="0.25">
      <c r="B850" s="99"/>
    </row>
    <row r="851" spans="2:2" ht="14.25" customHeight="1" x14ac:dyDescent="0.25">
      <c r="B851" s="99"/>
    </row>
    <row r="852" spans="2:2" ht="14.25" customHeight="1" x14ac:dyDescent="0.25">
      <c r="B852" s="99"/>
    </row>
    <row r="853" spans="2:2" ht="14.25" customHeight="1" x14ac:dyDescent="0.25">
      <c r="B853" s="99"/>
    </row>
    <row r="854" spans="2:2" ht="14.25" customHeight="1" x14ac:dyDescent="0.25">
      <c r="B854" s="99"/>
    </row>
    <row r="855" spans="2:2" ht="14.25" customHeight="1" x14ac:dyDescent="0.25">
      <c r="B855" s="99"/>
    </row>
    <row r="856" spans="2:2" ht="14.25" customHeight="1" x14ac:dyDescent="0.25">
      <c r="B856" s="99"/>
    </row>
    <row r="857" spans="2:2" ht="14.25" customHeight="1" x14ac:dyDescent="0.25">
      <c r="B857" s="99"/>
    </row>
    <row r="858" spans="2:2" ht="14.25" customHeight="1" x14ac:dyDescent="0.25">
      <c r="B858" s="99"/>
    </row>
    <row r="859" spans="2:2" ht="14.25" customHeight="1" x14ac:dyDescent="0.25">
      <c r="B859" s="99"/>
    </row>
    <row r="860" spans="2:2" ht="14.25" customHeight="1" x14ac:dyDescent="0.25">
      <c r="B860" s="99"/>
    </row>
    <row r="861" spans="2:2" ht="14.25" customHeight="1" x14ac:dyDescent="0.25">
      <c r="B861" s="99"/>
    </row>
    <row r="862" spans="2:2" ht="14.25" customHeight="1" x14ac:dyDescent="0.25">
      <c r="B862" s="99"/>
    </row>
    <row r="863" spans="2:2" ht="14.25" customHeight="1" x14ac:dyDescent="0.25">
      <c r="B863" s="99"/>
    </row>
    <row r="864" spans="2:2" ht="14.25" customHeight="1" x14ac:dyDescent="0.25">
      <c r="B864" s="99"/>
    </row>
    <row r="865" spans="2:2" ht="14.25" customHeight="1" x14ac:dyDescent="0.25">
      <c r="B865" s="99"/>
    </row>
    <row r="866" spans="2:2" ht="14.25" customHeight="1" x14ac:dyDescent="0.25">
      <c r="B866" s="99"/>
    </row>
    <row r="867" spans="2:2" ht="14.25" customHeight="1" x14ac:dyDescent="0.25">
      <c r="B867" s="99"/>
    </row>
    <row r="868" spans="2:2" ht="14.25" customHeight="1" x14ac:dyDescent="0.25">
      <c r="B868" s="99"/>
    </row>
    <row r="869" spans="2:2" ht="14.25" customHeight="1" x14ac:dyDescent="0.25">
      <c r="B869" s="99"/>
    </row>
    <row r="870" spans="2:2" ht="14.25" customHeight="1" x14ac:dyDescent="0.25">
      <c r="B870" s="99"/>
    </row>
    <row r="871" spans="2:2" ht="14.25" customHeight="1" x14ac:dyDescent="0.25">
      <c r="B871" s="99"/>
    </row>
    <row r="872" spans="2:2" ht="14.25" customHeight="1" x14ac:dyDescent="0.25">
      <c r="B872" s="99"/>
    </row>
    <row r="873" spans="2:2" ht="14.25" customHeight="1" x14ac:dyDescent="0.25">
      <c r="B873" s="99"/>
    </row>
    <row r="874" spans="2:2" ht="14.25" customHeight="1" x14ac:dyDescent="0.25">
      <c r="B874" s="99"/>
    </row>
    <row r="875" spans="2:2" ht="14.25" customHeight="1" x14ac:dyDescent="0.25">
      <c r="B875" s="99"/>
    </row>
    <row r="876" spans="2:2" ht="14.25" customHeight="1" x14ac:dyDescent="0.25">
      <c r="B876" s="99"/>
    </row>
    <row r="877" spans="2:2" ht="14.25" customHeight="1" x14ac:dyDescent="0.25">
      <c r="B877" s="99"/>
    </row>
    <row r="878" spans="2:2" ht="14.25" customHeight="1" x14ac:dyDescent="0.25">
      <c r="B878" s="99"/>
    </row>
    <row r="879" spans="2:2" ht="14.25" customHeight="1" x14ac:dyDescent="0.25">
      <c r="B879" s="99"/>
    </row>
    <row r="880" spans="2:2" ht="14.25" customHeight="1" x14ac:dyDescent="0.25">
      <c r="B880" s="99"/>
    </row>
    <row r="881" spans="2:2" ht="14.25" customHeight="1" x14ac:dyDescent="0.25">
      <c r="B881" s="99"/>
    </row>
    <row r="882" spans="2:2" ht="14.25" customHeight="1" x14ac:dyDescent="0.25">
      <c r="B882" s="99"/>
    </row>
    <row r="883" spans="2:2" ht="14.25" customHeight="1" x14ac:dyDescent="0.25">
      <c r="B883" s="99"/>
    </row>
    <row r="884" spans="2:2" ht="14.25" customHeight="1" x14ac:dyDescent="0.25">
      <c r="B884" s="99"/>
    </row>
    <row r="885" spans="2:2" ht="14.25" customHeight="1" x14ac:dyDescent="0.25">
      <c r="B885" s="99"/>
    </row>
    <row r="886" spans="2:2" ht="14.25" customHeight="1" x14ac:dyDescent="0.25">
      <c r="B886" s="99"/>
    </row>
    <row r="887" spans="2:2" ht="14.25" customHeight="1" x14ac:dyDescent="0.25">
      <c r="B887" s="99"/>
    </row>
    <row r="888" spans="2:2" ht="14.25" customHeight="1" x14ac:dyDescent="0.25">
      <c r="B888" s="99"/>
    </row>
    <row r="889" spans="2:2" ht="14.25" customHeight="1" x14ac:dyDescent="0.25">
      <c r="B889" s="99"/>
    </row>
    <row r="890" spans="2:2" ht="14.25" customHeight="1" x14ac:dyDescent="0.25">
      <c r="B890" s="99"/>
    </row>
    <row r="891" spans="2:2" ht="14.25" customHeight="1" x14ac:dyDescent="0.25">
      <c r="B891" s="99"/>
    </row>
    <row r="892" spans="2:2" ht="14.25" customHeight="1" x14ac:dyDescent="0.25">
      <c r="B892" s="99"/>
    </row>
    <row r="893" spans="2:2" ht="14.25" customHeight="1" x14ac:dyDescent="0.25">
      <c r="B893" s="99"/>
    </row>
    <row r="894" spans="2:2" ht="14.25" customHeight="1" x14ac:dyDescent="0.25">
      <c r="B894" s="99"/>
    </row>
    <row r="895" spans="2:2" ht="14.25" customHeight="1" x14ac:dyDescent="0.25">
      <c r="B895" s="99"/>
    </row>
    <row r="896" spans="2:2" ht="14.25" customHeight="1" x14ac:dyDescent="0.25">
      <c r="B896" s="99"/>
    </row>
    <row r="897" spans="2:2" ht="14.25" customHeight="1" x14ac:dyDescent="0.25">
      <c r="B897" s="99"/>
    </row>
    <row r="898" spans="2:2" ht="14.25" customHeight="1" x14ac:dyDescent="0.25">
      <c r="B898" s="99"/>
    </row>
    <row r="899" spans="2:2" ht="14.25" customHeight="1" x14ac:dyDescent="0.25">
      <c r="B899" s="99"/>
    </row>
    <row r="900" spans="2:2" ht="14.25" customHeight="1" x14ac:dyDescent="0.25">
      <c r="B900" s="99"/>
    </row>
    <row r="901" spans="2:2" ht="14.25" customHeight="1" x14ac:dyDescent="0.25">
      <c r="B901" s="99"/>
    </row>
    <row r="902" spans="2:2" ht="14.25" customHeight="1" x14ac:dyDescent="0.25">
      <c r="B902" s="99"/>
    </row>
    <row r="903" spans="2:2" ht="14.25" customHeight="1" x14ac:dyDescent="0.25">
      <c r="B903" s="99"/>
    </row>
    <row r="904" spans="2:2" ht="14.25" customHeight="1" x14ac:dyDescent="0.25">
      <c r="B904" s="99"/>
    </row>
    <row r="905" spans="2:2" ht="14.25" customHeight="1" x14ac:dyDescent="0.25">
      <c r="B905" s="99"/>
    </row>
    <row r="906" spans="2:2" ht="14.25" customHeight="1" x14ac:dyDescent="0.25">
      <c r="B906" s="99"/>
    </row>
    <row r="907" spans="2:2" ht="14.25" customHeight="1" x14ac:dyDescent="0.25">
      <c r="B907" s="99"/>
    </row>
    <row r="908" spans="2:2" ht="14.25" customHeight="1" x14ac:dyDescent="0.25">
      <c r="B908" s="99"/>
    </row>
    <row r="909" spans="2:2" ht="14.25" customHeight="1" x14ac:dyDescent="0.25">
      <c r="B909" s="99"/>
    </row>
    <row r="910" spans="2:2" ht="14.25" customHeight="1" x14ac:dyDescent="0.25">
      <c r="B910" s="99"/>
    </row>
    <row r="911" spans="2:2" ht="14.25" customHeight="1" x14ac:dyDescent="0.25">
      <c r="B911" s="99"/>
    </row>
    <row r="912" spans="2:2" ht="14.25" customHeight="1" x14ac:dyDescent="0.25">
      <c r="B912" s="99"/>
    </row>
    <row r="913" spans="2:2" ht="14.25" customHeight="1" x14ac:dyDescent="0.25">
      <c r="B913" s="99"/>
    </row>
    <row r="914" spans="2:2" ht="14.25" customHeight="1" x14ac:dyDescent="0.25">
      <c r="B914" s="99"/>
    </row>
    <row r="915" spans="2:2" ht="14.25" customHeight="1" x14ac:dyDescent="0.25">
      <c r="B915" s="99"/>
    </row>
    <row r="916" spans="2:2" ht="14.25" customHeight="1" x14ac:dyDescent="0.25">
      <c r="B916" s="99"/>
    </row>
    <row r="917" spans="2:2" ht="14.25" customHeight="1" x14ac:dyDescent="0.25">
      <c r="B917" s="99"/>
    </row>
    <row r="918" spans="2:2" ht="14.25" customHeight="1" x14ac:dyDescent="0.25">
      <c r="B918" s="99"/>
    </row>
    <row r="919" spans="2:2" ht="14.25" customHeight="1" x14ac:dyDescent="0.25">
      <c r="B919" s="99"/>
    </row>
    <row r="920" spans="2:2" ht="14.25" customHeight="1" x14ac:dyDescent="0.25">
      <c r="B920" s="99"/>
    </row>
    <row r="921" spans="2:2" ht="14.25" customHeight="1" x14ac:dyDescent="0.25">
      <c r="B921" s="99"/>
    </row>
    <row r="922" spans="2:2" ht="14.25" customHeight="1" x14ac:dyDescent="0.25">
      <c r="B922" s="99"/>
    </row>
    <row r="923" spans="2:2" ht="14.25" customHeight="1" x14ac:dyDescent="0.25">
      <c r="B923" s="99"/>
    </row>
    <row r="924" spans="2:2" ht="14.25" customHeight="1" x14ac:dyDescent="0.25">
      <c r="B924" s="99"/>
    </row>
    <row r="925" spans="2:2" ht="14.25" customHeight="1" x14ac:dyDescent="0.25">
      <c r="B925" s="99"/>
    </row>
    <row r="926" spans="2:2" ht="14.25" customHeight="1" x14ac:dyDescent="0.25">
      <c r="B926" s="99"/>
    </row>
    <row r="927" spans="2:2" ht="14.25" customHeight="1" x14ac:dyDescent="0.25">
      <c r="B927" s="99"/>
    </row>
    <row r="928" spans="2:2" ht="14.25" customHeight="1" x14ac:dyDescent="0.25">
      <c r="B928" s="99"/>
    </row>
    <row r="929" spans="2:2" ht="14.25" customHeight="1" x14ac:dyDescent="0.25">
      <c r="B929" s="99"/>
    </row>
    <row r="930" spans="2:2" ht="14.25" customHeight="1" x14ac:dyDescent="0.25">
      <c r="B930" s="99"/>
    </row>
    <row r="931" spans="2:2" ht="14.25" customHeight="1" x14ac:dyDescent="0.25">
      <c r="B931" s="99"/>
    </row>
    <row r="932" spans="2:2" ht="14.25" customHeight="1" x14ac:dyDescent="0.25">
      <c r="B932" s="99"/>
    </row>
    <row r="933" spans="2:2" ht="14.25" customHeight="1" x14ac:dyDescent="0.25">
      <c r="B933" s="99"/>
    </row>
    <row r="934" spans="2:2" ht="14.25" customHeight="1" x14ac:dyDescent="0.25">
      <c r="B934" s="99"/>
    </row>
    <row r="935" spans="2:2" ht="14.25" customHeight="1" x14ac:dyDescent="0.25">
      <c r="B935" s="99"/>
    </row>
    <row r="936" spans="2:2" ht="14.25" customHeight="1" x14ac:dyDescent="0.25">
      <c r="B936" s="99"/>
    </row>
    <row r="937" spans="2:2" ht="14.25" customHeight="1" x14ac:dyDescent="0.25">
      <c r="B937" s="99"/>
    </row>
    <row r="938" spans="2:2" ht="14.25" customHeight="1" x14ac:dyDescent="0.25">
      <c r="B938" s="99"/>
    </row>
    <row r="939" spans="2:2" ht="14.25" customHeight="1" x14ac:dyDescent="0.25">
      <c r="B939" s="99"/>
    </row>
    <row r="940" spans="2:2" ht="14.25" customHeight="1" x14ac:dyDescent="0.25">
      <c r="B940" s="99"/>
    </row>
    <row r="941" spans="2:2" ht="14.25" customHeight="1" x14ac:dyDescent="0.25">
      <c r="B941" s="99"/>
    </row>
    <row r="942" spans="2:2" ht="14.25" customHeight="1" x14ac:dyDescent="0.25">
      <c r="B942" s="99"/>
    </row>
    <row r="943" spans="2:2" ht="14.25" customHeight="1" x14ac:dyDescent="0.25">
      <c r="B943" s="99"/>
    </row>
    <row r="944" spans="2:2" ht="14.25" customHeight="1" x14ac:dyDescent="0.25">
      <c r="B944" s="99"/>
    </row>
    <row r="945" spans="2:2" ht="14.25" customHeight="1" x14ac:dyDescent="0.25">
      <c r="B945" s="99"/>
    </row>
    <row r="946" spans="2:2" ht="14.25" customHeight="1" x14ac:dyDescent="0.25">
      <c r="B946" s="99"/>
    </row>
    <row r="947" spans="2:2" ht="14.25" customHeight="1" x14ac:dyDescent="0.25">
      <c r="B947" s="99"/>
    </row>
    <row r="948" spans="2:2" ht="14.25" customHeight="1" x14ac:dyDescent="0.25">
      <c r="B948" s="99"/>
    </row>
    <row r="949" spans="2:2" ht="14.25" customHeight="1" x14ac:dyDescent="0.25">
      <c r="B949" s="99"/>
    </row>
    <row r="950" spans="2:2" ht="14.25" customHeight="1" x14ac:dyDescent="0.25">
      <c r="B950" s="99"/>
    </row>
    <row r="951" spans="2:2" ht="14.25" customHeight="1" x14ac:dyDescent="0.25">
      <c r="B951" s="99"/>
    </row>
    <row r="952" spans="2:2" ht="14.25" customHeight="1" x14ac:dyDescent="0.25">
      <c r="B952" s="99"/>
    </row>
    <row r="953" spans="2:2" ht="14.25" customHeight="1" x14ac:dyDescent="0.25">
      <c r="B953" s="99"/>
    </row>
    <row r="954" spans="2:2" ht="14.25" customHeight="1" x14ac:dyDescent="0.25">
      <c r="B954" s="99"/>
    </row>
    <row r="955" spans="2:2" ht="14.25" customHeight="1" x14ac:dyDescent="0.25">
      <c r="B955" s="99"/>
    </row>
    <row r="956" spans="2:2" ht="14.25" customHeight="1" x14ac:dyDescent="0.25">
      <c r="B956" s="99"/>
    </row>
    <row r="957" spans="2:2" ht="14.25" customHeight="1" x14ac:dyDescent="0.25">
      <c r="B957" s="99"/>
    </row>
    <row r="958" spans="2:2" ht="14.25" customHeight="1" x14ac:dyDescent="0.25">
      <c r="B958" s="99"/>
    </row>
    <row r="959" spans="2:2" ht="14.25" customHeight="1" x14ac:dyDescent="0.25">
      <c r="B959" s="99"/>
    </row>
    <row r="960" spans="2:2" ht="14.25" customHeight="1" x14ac:dyDescent="0.25">
      <c r="B960" s="99"/>
    </row>
    <row r="961" spans="2:2" ht="14.25" customHeight="1" x14ac:dyDescent="0.25">
      <c r="B961" s="99"/>
    </row>
    <row r="962" spans="2:2" ht="14.25" customHeight="1" x14ac:dyDescent="0.25">
      <c r="B962" s="99"/>
    </row>
    <row r="963" spans="2:2" ht="14.25" customHeight="1" x14ac:dyDescent="0.25">
      <c r="B963" s="99"/>
    </row>
    <row r="964" spans="2:2" ht="14.25" customHeight="1" x14ac:dyDescent="0.25">
      <c r="B964" s="99"/>
    </row>
    <row r="965" spans="2:2" ht="14.25" customHeight="1" x14ac:dyDescent="0.25">
      <c r="B965" s="99"/>
    </row>
    <row r="966" spans="2:2" ht="14.25" customHeight="1" x14ac:dyDescent="0.25">
      <c r="B966" s="99"/>
    </row>
    <row r="967" spans="2:2" ht="14.25" customHeight="1" x14ac:dyDescent="0.25">
      <c r="B967" s="99"/>
    </row>
    <row r="968" spans="2:2" ht="14.25" customHeight="1" x14ac:dyDescent="0.25">
      <c r="B968" s="99"/>
    </row>
    <row r="969" spans="2:2" ht="14.25" customHeight="1" x14ac:dyDescent="0.25">
      <c r="B969" s="99"/>
    </row>
    <row r="970" spans="2:2" ht="14.25" customHeight="1" x14ac:dyDescent="0.25">
      <c r="B970" s="99"/>
    </row>
    <row r="971" spans="2:2" ht="14.25" customHeight="1" x14ac:dyDescent="0.25">
      <c r="B971" s="99"/>
    </row>
    <row r="972" spans="2:2" ht="14.25" customHeight="1" x14ac:dyDescent="0.25">
      <c r="B972" s="99"/>
    </row>
    <row r="973" spans="2:2" ht="14.25" customHeight="1" x14ac:dyDescent="0.25">
      <c r="B973" s="99"/>
    </row>
    <row r="974" spans="2:2" ht="14.25" customHeight="1" x14ac:dyDescent="0.25">
      <c r="B974" s="99"/>
    </row>
    <row r="975" spans="2:2" ht="14.25" customHeight="1" x14ac:dyDescent="0.25">
      <c r="B975" s="99"/>
    </row>
    <row r="976" spans="2:2" ht="14.25" customHeight="1" x14ac:dyDescent="0.25">
      <c r="B976" s="99"/>
    </row>
    <row r="977" spans="2:2" ht="14.25" customHeight="1" x14ac:dyDescent="0.25">
      <c r="B977" s="99"/>
    </row>
    <row r="978" spans="2:2" ht="14.25" customHeight="1" x14ac:dyDescent="0.25">
      <c r="B978" s="99"/>
    </row>
    <row r="979" spans="2:2" ht="14.25" customHeight="1" x14ac:dyDescent="0.25">
      <c r="B979" s="99"/>
    </row>
    <row r="980" spans="2:2" ht="14.25" customHeight="1" x14ac:dyDescent="0.25">
      <c r="B980" s="99"/>
    </row>
    <row r="981" spans="2:2" ht="14.25" customHeight="1" x14ac:dyDescent="0.25">
      <c r="B981" s="99"/>
    </row>
    <row r="982" spans="2:2" ht="14.25" customHeight="1" x14ac:dyDescent="0.25">
      <c r="B982" s="99"/>
    </row>
    <row r="983" spans="2:2" ht="14.25" customHeight="1" x14ac:dyDescent="0.25">
      <c r="B983" s="99"/>
    </row>
    <row r="984" spans="2:2" ht="14.25" customHeight="1" x14ac:dyDescent="0.25">
      <c r="B984" s="99"/>
    </row>
    <row r="985" spans="2:2" ht="14.25" customHeight="1" x14ac:dyDescent="0.25">
      <c r="B985" s="99"/>
    </row>
    <row r="986" spans="2:2" ht="14.25" customHeight="1" x14ac:dyDescent="0.25">
      <c r="B986" s="99"/>
    </row>
    <row r="987" spans="2:2" ht="14.25" customHeight="1" x14ac:dyDescent="0.25">
      <c r="B987" s="99"/>
    </row>
    <row r="988" spans="2:2" ht="14.25" customHeight="1" x14ac:dyDescent="0.25">
      <c r="B988" s="99"/>
    </row>
    <row r="989" spans="2:2" ht="14.25" customHeight="1" x14ac:dyDescent="0.25">
      <c r="B989" s="99"/>
    </row>
    <row r="990" spans="2:2" ht="14.25" customHeight="1" x14ac:dyDescent="0.25">
      <c r="B990" s="99"/>
    </row>
    <row r="991" spans="2:2" ht="14.25" customHeight="1" x14ac:dyDescent="0.25">
      <c r="B991" s="99"/>
    </row>
    <row r="992" spans="2:2" ht="14.25" customHeight="1" x14ac:dyDescent="0.25">
      <c r="B992" s="99"/>
    </row>
    <row r="993" spans="2:2" ht="14.25" customHeight="1" x14ac:dyDescent="0.25">
      <c r="B993" s="99"/>
    </row>
    <row r="994" spans="2:2" ht="14.25" customHeight="1" x14ac:dyDescent="0.25">
      <c r="B994" s="99"/>
    </row>
    <row r="995" spans="2:2" ht="14.25" customHeight="1" x14ac:dyDescent="0.25">
      <c r="B995" s="99"/>
    </row>
    <row r="996" spans="2:2" ht="14.25" customHeight="1" x14ac:dyDescent="0.25">
      <c r="B996" s="99"/>
    </row>
    <row r="997" spans="2:2" ht="14.25" customHeight="1" x14ac:dyDescent="0.25">
      <c r="B997" s="99"/>
    </row>
    <row r="998" spans="2:2" ht="14.25" customHeight="1" x14ac:dyDescent="0.25">
      <c r="B998" s="99"/>
    </row>
    <row r="999" spans="2:2" ht="14.25" customHeight="1" x14ac:dyDescent="0.25">
      <c r="B999" s="99"/>
    </row>
    <row r="1000" spans="2:2" ht="14.25" customHeight="1" x14ac:dyDescent="0.25">
      <c r="B1000" s="99"/>
    </row>
  </sheetData>
  <mergeCells count="2">
    <mergeCell ref="C1:D1"/>
    <mergeCell ref="I16:N23"/>
  </mergeCells>
  <pageMargins left="0.7" right="0.7" top="0.75" bottom="0.75" header="0" footer="0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5"/>
  <dimension ref="A1:B1000"/>
  <sheetViews>
    <sheetView workbookViewId="0">
      <selection activeCell="A5" sqref="A5"/>
    </sheetView>
  </sheetViews>
  <sheetFormatPr defaultColWidth="14.42578125" defaultRowHeight="15" customHeight="1" x14ac:dyDescent="0.25"/>
  <cols>
    <col min="1" max="1" width="22.85546875" customWidth="1"/>
    <col min="2" max="2" width="16.140625" customWidth="1"/>
    <col min="3" max="6" width="8.85546875" customWidth="1"/>
    <col min="7" max="26" width="10" customWidth="1"/>
  </cols>
  <sheetData>
    <row r="1" spans="1:2" ht="14.25" customHeight="1" x14ac:dyDescent="0.25"/>
    <row r="2" spans="1:2" ht="14.25" customHeight="1" x14ac:dyDescent="0.25">
      <c r="B2" s="199" t="s">
        <v>474</v>
      </c>
    </row>
    <row r="3" spans="1:2" ht="14.25" customHeight="1" x14ac:dyDescent="0.25">
      <c r="A3" s="200" t="s">
        <v>475</v>
      </c>
      <c r="B3" s="201">
        <f>SUM(A5:B5)</f>
        <v>101</v>
      </c>
    </row>
    <row r="4" spans="1:2" ht="14.25" customHeight="1" x14ac:dyDescent="0.25">
      <c r="A4" s="201" t="s">
        <v>476</v>
      </c>
      <c r="B4" s="201" t="s">
        <v>477</v>
      </c>
    </row>
    <row r="5" spans="1:2" ht="14.25" customHeight="1" x14ac:dyDescent="0.4">
      <c r="A5" s="161">
        <f>COUNTIF('FALSE CRAWL DATA'!B5:B105,"=P")</f>
        <v>28</v>
      </c>
      <c r="B5" s="161">
        <f>COUNTIF('FALSE CRAWL DATA'!B5:B105,"=K")</f>
        <v>73</v>
      </c>
    </row>
    <row r="6" spans="1:2" ht="14.25" customHeight="1" x14ac:dyDescent="0.25"/>
    <row r="7" spans="1:2" ht="14.25" customHeight="1" x14ac:dyDescent="0.25">
      <c r="B7" s="199" t="s">
        <v>474</v>
      </c>
    </row>
    <row r="8" spans="1:2" ht="14.25" customHeight="1" x14ac:dyDescent="0.25">
      <c r="A8" s="200" t="s">
        <v>478</v>
      </c>
      <c r="B8" s="201">
        <f>SUM(A10:B10)</f>
        <v>231</v>
      </c>
    </row>
    <row r="9" spans="1:2" ht="14.25" customHeight="1" x14ac:dyDescent="0.25">
      <c r="A9" s="201" t="s">
        <v>476</v>
      </c>
      <c r="B9" s="201" t="s">
        <v>477</v>
      </c>
    </row>
    <row r="10" spans="1:2" ht="14.25" customHeight="1" x14ac:dyDescent="0.4">
      <c r="A10" s="154">
        <f>COUNTIF('NEST DATA '!B11:B241,"=P")</f>
        <v>88</v>
      </c>
      <c r="B10" s="154">
        <f>COUNTIF('NEST DATA '!B11:B241,"=K")</f>
        <v>143</v>
      </c>
    </row>
    <row r="11" spans="1:2" ht="14.25" customHeight="1" x14ac:dyDescent="0.25"/>
    <row r="12" spans="1:2" ht="14.25" customHeight="1" x14ac:dyDescent="0.25">
      <c r="B12" s="199" t="s">
        <v>474</v>
      </c>
    </row>
    <row r="13" spans="1:2" ht="14.25" customHeight="1" x14ac:dyDescent="0.25">
      <c r="A13" s="202" t="s">
        <v>479</v>
      </c>
      <c r="B13" s="201">
        <f>SUM(A15:B15)</f>
        <v>13</v>
      </c>
    </row>
    <row r="14" spans="1:2" ht="14.25" customHeight="1" x14ac:dyDescent="0.25">
      <c r="A14" s="201" t="s">
        <v>476</v>
      </c>
      <c r="B14" s="201" t="s">
        <v>477</v>
      </c>
    </row>
    <row r="15" spans="1:2" ht="14.25" customHeight="1" x14ac:dyDescent="0.4">
      <c r="A15" s="154">
        <f>COUNTIF('INVESTIGATION DATA'!B4:B16,"=P")</f>
        <v>5</v>
      </c>
      <c r="B15" s="154">
        <f>COUNTIF('INVESTIGATION DATA'!B4:B16,"=K")</f>
        <v>8</v>
      </c>
    </row>
    <row r="16" spans="1:2" ht="14.25" customHeight="1" x14ac:dyDescent="0.25">
      <c r="A16" s="203">
        <f>A15/B13*100</f>
        <v>38.461538461538467</v>
      </c>
      <c r="B16" s="203">
        <f>B15/B13*100</f>
        <v>61.53846153846154</v>
      </c>
    </row>
    <row r="17" spans="1:2" ht="14.25" customHeight="1" x14ac:dyDescent="0.25"/>
    <row r="18" spans="1:2" ht="14.25" customHeight="1" x14ac:dyDescent="0.25">
      <c r="B18" s="199" t="s">
        <v>474</v>
      </c>
    </row>
    <row r="19" spans="1:2" ht="14.25" customHeight="1" x14ac:dyDescent="0.25">
      <c r="A19" s="202" t="s">
        <v>480</v>
      </c>
      <c r="B19" s="201">
        <f>SUM(A21:B21)</f>
        <v>114</v>
      </c>
    </row>
    <row r="20" spans="1:2" ht="14.25" customHeight="1" x14ac:dyDescent="0.25">
      <c r="A20" s="201" t="s">
        <v>476</v>
      </c>
      <c r="B20" s="201" t="s">
        <v>477</v>
      </c>
    </row>
    <row r="21" spans="1:2" ht="14.25" customHeight="1" x14ac:dyDescent="0.4">
      <c r="A21" s="154">
        <f t="shared" ref="A21:B21" si="0">A15+A5</f>
        <v>33</v>
      </c>
      <c r="B21" s="154">
        <f t="shared" si="0"/>
        <v>81</v>
      </c>
    </row>
    <row r="22" spans="1:2" ht="14.25" customHeight="1" x14ac:dyDescent="0.25">
      <c r="A22" s="203">
        <f>A21/B19*100</f>
        <v>28.947368421052634</v>
      </c>
      <c r="B22" s="203">
        <f>B21/B19*100</f>
        <v>71.05263157894737</v>
      </c>
    </row>
    <row r="23" spans="1:2" ht="14.25" customHeight="1" x14ac:dyDescent="0.25"/>
    <row r="24" spans="1:2" ht="14.25" customHeight="1" x14ac:dyDescent="0.25"/>
    <row r="25" spans="1:2" ht="14.25" customHeight="1" x14ac:dyDescent="0.25"/>
    <row r="26" spans="1:2" ht="14.25" customHeight="1" x14ac:dyDescent="0.25"/>
    <row r="27" spans="1:2" ht="14.25" customHeight="1" x14ac:dyDescent="0.25"/>
    <row r="28" spans="1:2" ht="14.25" customHeight="1" x14ac:dyDescent="0.25"/>
    <row r="29" spans="1:2" ht="14.25" customHeight="1" x14ac:dyDescent="0.25"/>
    <row r="30" spans="1:2" ht="14.25" customHeight="1" x14ac:dyDescent="0.25"/>
    <row r="31" spans="1:2" ht="14.25" customHeight="1" x14ac:dyDescent="0.25"/>
    <row r="32" spans="1: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FFC000"/>
  </sheetPr>
  <dimension ref="A1:AF997"/>
  <sheetViews>
    <sheetView topLeftCell="A67" workbookViewId="0">
      <selection activeCell="A5" sqref="A5"/>
    </sheetView>
  </sheetViews>
  <sheetFormatPr defaultColWidth="14.42578125" defaultRowHeight="15" customHeight="1" x14ac:dyDescent="0.25"/>
  <cols>
    <col min="1" max="2" width="18.7109375" customWidth="1"/>
    <col min="5" max="5" width="12" customWidth="1"/>
    <col min="6" max="7" width="18" customWidth="1"/>
    <col min="8" max="8" width="9.140625" customWidth="1"/>
    <col min="9" max="9" width="10" customWidth="1"/>
    <col min="10" max="10" width="11.85546875" customWidth="1"/>
    <col min="11" max="11" width="9.140625" customWidth="1"/>
    <col min="12" max="12" width="13.7109375" customWidth="1"/>
    <col min="13" max="13" width="18.85546875" customWidth="1"/>
    <col min="14" max="32" width="8.85546875" customWidth="1"/>
  </cols>
  <sheetData>
    <row r="1" spans="1:32" ht="15" customHeight="1" x14ac:dyDescent="0.25">
      <c r="A1" s="223" t="s">
        <v>330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5"/>
    </row>
    <row r="2" spans="1:32" ht="33.75" customHeight="1" x14ac:dyDescent="0.25">
      <c r="A2" s="78" t="s">
        <v>331</v>
      </c>
      <c r="B2" s="79"/>
      <c r="C2" s="226" t="s">
        <v>332</v>
      </c>
      <c r="D2" s="227"/>
      <c r="E2" s="81" t="s">
        <v>333</v>
      </c>
      <c r="F2" s="80"/>
      <c r="G2" s="80"/>
      <c r="H2" s="82"/>
      <c r="I2" s="83"/>
      <c r="J2" s="84" t="s">
        <v>334</v>
      </c>
      <c r="K2" s="85" t="s">
        <v>335</v>
      </c>
      <c r="L2" s="86" t="s">
        <v>336</v>
      </c>
    </row>
    <row r="3" spans="1:32" ht="37.5" customHeight="1" x14ac:dyDescent="0.25">
      <c r="A3" s="87" t="s">
        <v>337</v>
      </c>
      <c r="B3" s="88" t="s">
        <v>39</v>
      </c>
      <c r="C3" s="228" t="s">
        <v>338</v>
      </c>
      <c r="D3" s="229"/>
      <c r="E3" s="89" t="s">
        <v>339</v>
      </c>
      <c r="F3" s="90" t="s">
        <v>43</v>
      </c>
      <c r="G3" s="90" t="s">
        <v>44</v>
      </c>
      <c r="H3" s="91" t="s">
        <v>340</v>
      </c>
      <c r="I3" s="88" t="s">
        <v>341</v>
      </c>
      <c r="J3" s="92" t="s">
        <v>40</v>
      </c>
      <c r="K3" s="93" t="s">
        <v>342</v>
      </c>
      <c r="L3" s="93" t="s">
        <v>343</v>
      </c>
    </row>
    <row r="4" spans="1:32" ht="14.25" customHeight="1" x14ac:dyDescent="0.25">
      <c r="C4" s="94"/>
    </row>
    <row r="5" spans="1:32" ht="14.25" customHeight="1" x14ac:dyDescent="0.25">
      <c r="A5" s="95" t="s">
        <v>344</v>
      </c>
      <c r="B5" s="96" t="s">
        <v>88</v>
      </c>
      <c r="C5" s="42">
        <v>122</v>
      </c>
      <c r="D5" s="42">
        <v>123</v>
      </c>
      <c r="E5" s="97">
        <v>44348</v>
      </c>
      <c r="F5" s="98" t="s">
        <v>89</v>
      </c>
      <c r="G5" s="98" t="s">
        <v>89</v>
      </c>
      <c r="H5" s="98" t="s">
        <v>345</v>
      </c>
      <c r="I5" s="98" t="s">
        <v>346</v>
      </c>
      <c r="J5" s="98" t="s">
        <v>89</v>
      </c>
      <c r="K5" s="98" t="s">
        <v>345</v>
      </c>
      <c r="L5" s="98">
        <v>0</v>
      </c>
      <c r="M5" s="99"/>
    </row>
    <row r="6" spans="1:32" ht="14.25" customHeight="1" x14ac:dyDescent="0.25">
      <c r="A6" s="100" t="s">
        <v>347</v>
      </c>
      <c r="B6" s="101" t="s">
        <v>88</v>
      </c>
      <c r="C6" s="102">
        <v>110</v>
      </c>
      <c r="D6" s="102">
        <v>111</v>
      </c>
      <c r="E6" s="103">
        <v>44349</v>
      </c>
      <c r="F6" s="98" t="s">
        <v>89</v>
      </c>
      <c r="G6" s="98" t="s">
        <v>89</v>
      </c>
      <c r="H6" s="98" t="s">
        <v>345</v>
      </c>
      <c r="I6" s="98" t="s">
        <v>346</v>
      </c>
      <c r="J6" s="98" t="s">
        <v>89</v>
      </c>
      <c r="K6" s="98" t="s">
        <v>345</v>
      </c>
      <c r="L6" s="104">
        <v>0</v>
      </c>
      <c r="M6" s="99"/>
    </row>
    <row r="7" spans="1:32" ht="14.25" customHeight="1" x14ac:dyDescent="0.25">
      <c r="A7" s="95" t="s">
        <v>348</v>
      </c>
      <c r="B7" s="101" t="s">
        <v>93</v>
      </c>
      <c r="C7" s="102">
        <v>37</v>
      </c>
      <c r="D7" s="102">
        <v>38</v>
      </c>
      <c r="E7" s="103">
        <v>44350</v>
      </c>
      <c r="F7" s="98" t="s">
        <v>89</v>
      </c>
      <c r="G7" s="98" t="s">
        <v>89</v>
      </c>
      <c r="H7" s="98" t="s">
        <v>345</v>
      </c>
      <c r="I7" s="98" t="s">
        <v>346</v>
      </c>
      <c r="J7" s="98" t="s">
        <v>89</v>
      </c>
      <c r="K7" s="98" t="s">
        <v>345</v>
      </c>
      <c r="L7" s="104">
        <v>1</v>
      </c>
      <c r="M7" s="99"/>
    </row>
    <row r="8" spans="1:32" ht="15" customHeight="1" x14ac:dyDescent="0.25">
      <c r="A8" s="100" t="s">
        <v>349</v>
      </c>
      <c r="B8" s="101" t="s">
        <v>93</v>
      </c>
      <c r="C8" s="102">
        <v>26</v>
      </c>
      <c r="D8" s="102">
        <v>27</v>
      </c>
      <c r="E8" s="103">
        <v>44351</v>
      </c>
      <c r="F8" s="98" t="s">
        <v>89</v>
      </c>
      <c r="G8" s="98" t="s">
        <v>89</v>
      </c>
      <c r="H8" s="98" t="s">
        <v>345</v>
      </c>
      <c r="I8" s="98" t="s">
        <v>346</v>
      </c>
      <c r="J8" s="98" t="s">
        <v>89</v>
      </c>
      <c r="K8" s="98" t="s">
        <v>345</v>
      </c>
      <c r="L8" s="104">
        <v>0</v>
      </c>
      <c r="M8" s="99"/>
    </row>
    <row r="9" spans="1:32" ht="15" customHeight="1" x14ac:dyDescent="0.25">
      <c r="A9" s="95" t="s">
        <v>350</v>
      </c>
      <c r="B9" s="101" t="s">
        <v>88</v>
      </c>
      <c r="C9" s="32">
        <v>154</v>
      </c>
      <c r="D9" s="32">
        <v>155</v>
      </c>
      <c r="E9" s="103">
        <v>44351</v>
      </c>
      <c r="F9" s="98" t="s">
        <v>89</v>
      </c>
      <c r="G9" s="98" t="s">
        <v>89</v>
      </c>
      <c r="H9" s="98" t="s">
        <v>345</v>
      </c>
      <c r="I9" s="98" t="s">
        <v>346</v>
      </c>
      <c r="J9" s="98" t="s">
        <v>89</v>
      </c>
      <c r="K9" s="98" t="s">
        <v>345</v>
      </c>
      <c r="L9" s="104">
        <v>0</v>
      </c>
      <c r="M9" s="99"/>
    </row>
    <row r="10" spans="1:32" ht="14.25" customHeight="1" x14ac:dyDescent="0.25">
      <c r="A10" s="100" t="s">
        <v>351</v>
      </c>
      <c r="B10" s="101" t="s">
        <v>93</v>
      </c>
      <c r="C10" s="102">
        <v>43</v>
      </c>
      <c r="D10" s="102">
        <v>44</v>
      </c>
      <c r="E10" s="103">
        <v>44354</v>
      </c>
      <c r="F10" s="98" t="s">
        <v>89</v>
      </c>
      <c r="G10" s="98" t="s">
        <v>89</v>
      </c>
      <c r="H10" s="98" t="s">
        <v>345</v>
      </c>
      <c r="I10" s="98" t="s">
        <v>346</v>
      </c>
      <c r="J10" s="98" t="s">
        <v>89</v>
      </c>
      <c r="K10" s="98" t="s">
        <v>345</v>
      </c>
      <c r="L10" s="104">
        <v>0</v>
      </c>
      <c r="M10" s="99"/>
    </row>
    <row r="11" spans="1:32" ht="14.25" customHeight="1" x14ac:dyDescent="0.25">
      <c r="A11" s="95" t="s">
        <v>352</v>
      </c>
      <c r="B11" s="101" t="s">
        <v>93</v>
      </c>
      <c r="C11" s="102">
        <v>31</v>
      </c>
      <c r="D11" s="102">
        <v>32</v>
      </c>
      <c r="E11" s="105">
        <v>44356</v>
      </c>
      <c r="F11" s="98" t="s">
        <v>89</v>
      </c>
      <c r="G11" s="98" t="s">
        <v>89</v>
      </c>
      <c r="H11" s="98" t="s">
        <v>345</v>
      </c>
      <c r="I11" s="98" t="s">
        <v>346</v>
      </c>
      <c r="J11" s="98" t="s">
        <v>89</v>
      </c>
      <c r="K11" s="98" t="s">
        <v>345</v>
      </c>
      <c r="L11" s="106">
        <v>1</v>
      </c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32" ht="14.25" customHeight="1" x14ac:dyDescent="0.25">
      <c r="A12" s="100" t="s">
        <v>353</v>
      </c>
      <c r="B12" s="101" t="s">
        <v>88</v>
      </c>
      <c r="C12" s="102">
        <v>139</v>
      </c>
      <c r="D12" s="102">
        <v>140</v>
      </c>
      <c r="E12" s="103">
        <v>44357</v>
      </c>
      <c r="F12" s="98" t="s">
        <v>89</v>
      </c>
      <c r="G12" s="98" t="s">
        <v>89</v>
      </c>
      <c r="H12" s="98" t="s">
        <v>345</v>
      </c>
      <c r="I12" s="98" t="s">
        <v>346</v>
      </c>
      <c r="J12" s="98" t="s">
        <v>89</v>
      </c>
      <c r="K12" s="98" t="s">
        <v>345</v>
      </c>
      <c r="L12" s="104">
        <v>0</v>
      </c>
      <c r="M12" s="99"/>
    </row>
    <row r="13" spans="1:32" ht="14.25" customHeight="1" x14ac:dyDescent="0.25">
      <c r="A13" s="95" t="s">
        <v>481</v>
      </c>
      <c r="B13" s="101" t="s">
        <v>93</v>
      </c>
      <c r="C13" s="42">
        <v>69</v>
      </c>
      <c r="D13" s="42">
        <v>70</v>
      </c>
      <c r="E13" s="107">
        <v>44359</v>
      </c>
      <c r="F13" s="98" t="s">
        <v>89</v>
      </c>
      <c r="G13" s="98" t="s">
        <v>89</v>
      </c>
      <c r="H13" s="98" t="s">
        <v>345</v>
      </c>
      <c r="I13" s="98" t="s">
        <v>346</v>
      </c>
      <c r="J13" s="98" t="s">
        <v>89</v>
      </c>
      <c r="K13" s="98" t="s">
        <v>345</v>
      </c>
      <c r="L13" s="104">
        <v>1</v>
      </c>
      <c r="M13" s="99"/>
    </row>
    <row r="14" spans="1:32" ht="14.25" customHeight="1" x14ac:dyDescent="0.25">
      <c r="A14" s="100" t="s">
        <v>354</v>
      </c>
      <c r="B14" s="101" t="s">
        <v>93</v>
      </c>
      <c r="C14" s="42">
        <v>65</v>
      </c>
      <c r="D14" s="42">
        <v>66</v>
      </c>
      <c r="E14" s="107">
        <v>44360</v>
      </c>
      <c r="F14" s="98" t="s">
        <v>89</v>
      </c>
      <c r="G14" s="98" t="s">
        <v>89</v>
      </c>
      <c r="H14" s="98" t="s">
        <v>345</v>
      </c>
      <c r="I14" s="98" t="s">
        <v>346</v>
      </c>
      <c r="J14" s="98" t="s">
        <v>89</v>
      </c>
      <c r="K14" s="98" t="s">
        <v>345</v>
      </c>
      <c r="L14" s="104">
        <v>0</v>
      </c>
      <c r="M14" s="99"/>
    </row>
    <row r="15" spans="1:32" ht="14.25" customHeight="1" x14ac:dyDescent="0.25">
      <c r="A15" s="95" t="s">
        <v>355</v>
      </c>
      <c r="B15" s="101" t="s">
        <v>93</v>
      </c>
      <c r="C15" s="42">
        <v>6</v>
      </c>
      <c r="D15" s="42">
        <v>7</v>
      </c>
      <c r="E15" s="107">
        <v>44361</v>
      </c>
      <c r="F15" s="98" t="s">
        <v>89</v>
      </c>
      <c r="G15" s="98" t="s">
        <v>89</v>
      </c>
      <c r="H15" s="98" t="s">
        <v>345</v>
      </c>
      <c r="I15" s="98" t="s">
        <v>346</v>
      </c>
      <c r="J15" s="98" t="s">
        <v>89</v>
      </c>
      <c r="K15" s="98" t="s">
        <v>345</v>
      </c>
      <c r="L15" s="104">
        <v>0</v>
      </c>
      <c r="M15" s="99"/>
    </row>
    <row r="16" spans="1:32" ht="14.25" customHeight="1" x14ac:dyDescent="0.25">
      <c r="A16" s="100" t="s">
        <v>356</v>
      </c>
      <c r="B16" s="101" t="s">
        <v>93</v>
      </c>
      <c r="C16" s="42">
        <v>26</v>
      </c>
      <c r="D16" s="42">
        <v>27</v>
      </c>
      <c r="E16" s="107">
        <v>44361</v>
      </c>
      <c r="F16" s="98" t="s">
        <v>89</v>
      </c>
      <c r="G16" s="98" t="s">
        <v>89</v>
      </c>
      <c r="H16" s="98" t="s">
        <v>345</v>
      </c>
      <c r="I16" s="98" t="s">
        <v>346</v>
      </c>
      <c r="J16" s="98" t="s">
        <v>89</v>
      </c>
      <c r="K16" s="98" t="s">
        <v>345</v>
      </c>
      <c r="L16" s="104">
        <v>1</v>
      </c>
      <c r="M16" s="99"/>
    </row>
    <row r="17" spans="1:32" ht="14.25" customHeight="1" x14ac:dyDescent="0.25">
      <c r="A17" s="95" t="s">
        <v>357</v>
      </c>
      <c r="B17" s="101" t="s">
        <v>88</v>
      </c>
      <c r="C17" s="42">
        <v>135</v>
      </c>
      <c r="D17" s="42">
        <v>136</v>
      </c>
      <c r="E17" s="107">
        <v>44362</v>
      </c>
      <c r="F17" s="98" t="s">
        <v>89</v>
      </c>
      <c r="G17" s="98" t="s">
        <v>89</v>
      </c>
      <c r="H17" s="104" t="s">
        <v>345</v>
      </c>
      <c r="I17" s="104" t="s">
        <v>346</v>
      </c>
      <c r="J17" s="104" t="s">
        <v>89</v>
      </c>
      <c r="K17" s="104" t="s">
        <v>345</v>
      </c>
      <c r="L17" s="104">
        <v>1</v>
      </c>
      <c r="M17" s="99"/>
    </row>
    <row r="18" spans="1:32" ht="14.25" customHeight="1" x14ac:dyDescent="0.25">
      <c r="A18" s="100" t="s">
        <v>358</v>
      </c>
      <c r="B18" s="101" t="s">
        <v>93</v>
      </c>
      <c r="C18" s="42">
        <v>42</v>
      </c>
      <c r="D18" s="42">
        <v>43</v>
      </c>
      <c r="E18" s="107">
        <v>44363</v>
      </c>
      <c r="F18" s="98" t="s">
        <v>89</v>
      </c>
      <c r="G18" s="98" t="s">
        <v>89</v>
      </c>
      <c r="H18" s="104" t="s">
        <v>345</v>
      </c>
      <c r="I18" s="108" t="s">
        <v>346</v>
      </c>
      <c r="J18" s="108" t="s">
        <v>89</v>
      </c>
      <c r="K18" s="108" t="s">
        <v>345</v>
      </c>
      <c r="L18" s="108">
        <v>0</v>
      </c>
      <c r="M18" s="99"/>
    </row>
    <row r="19" spans="1:32" ht="14.25" customHeight="1" x14ac:dyDescent="0.25">
      <c r="A19" s="95" t="s">
        <v>359</v>
      </c>
      <c r="B19" s="101" t="s">
        <v>93</v>
      </c>
      <c r="C19" s="42">
        <v>53</v>
      </c>
      <c r="D19" s="42">
        <v>54</v>
      </c>
      <c r="E19" s="107">
        <v>44363</v>
      </c>
      <c r="F19" s="98" t="s">
        <v>89</v>
      </c>
      <c r="G19" s="98" t="s">
        <v>89</v>
      </c>
      <c r="H19" s="104" t="s">
        <v>345</v>
      </c>
      <c r="I19" s="108" t="s">
        <v>346</v>
      </c>
      <c r="J19" s="108" t="s">
        <v>89</v>
      </c>
      <c r="K19" s="108" t="s">
        <v>345</v>
      </c>
      <c r="L19" s="108">
        <v>0</v>
      </c>
      <c r="M19" s="99"/>
    </row>
    <row r="20" spans="1:32" ht="14.25" customHeight="1" x14ac:dyDescent="0.25">
      <c r="A20" s="100" t="s">
        <v>360</v>
      </c>
      <c r="B20" s="101" t="s">
        <v>93</v>
      </c>
      <c r="C20" s="42">
        <v>81</v>
      </c>
      <c r="D20" s="42">
        <v>82</v>
      </c>
      <c r="E20" s="107">
        <v>44363</v>
      </c>
      <c r="F20" s="98" t="s">
        <v>89</v>
      </c>
      <c r="G20" s="98" t="s">
        <v>89</v>
      </c>
      <c r="H20" s="104" t="s">
        <v>345</v>
      </c>
      <c r="I20" s="108" t="s">
        <v>346</v>
      </c>
      <c r="J20" s="108" t="s">
        <v>89</v>
      </c>
      <c r="K20" s="108" t="s">
        <v>345</v>
      </c>
      <c r="L20" s="108">
        <v>0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1:32" ht="14.25" customHeight="1" x14ac:dyDescent="0.25">
      <c r="A21" s="95" t="s">
        <v>361</v>
      </c>
      <c r="B21" s="101" t="s">
        <v>88</v>
      </c>
      <c r="C21" s="42">
        <v>130</v>
      </c>
      <c r="D21" s="42">
        <v>131</v>
      </c>
      <c r="E21" s="107">
        <v>44363</v>
      </c>
      <c r="F21" s="98" t="s">
        <v>89</v>
      </c>
      <c r="G21" s="98" t="s">
        <v>89</v>
      </c>
      <c r="H21" s="104" t="s">
        <v>345</v>
      </c>
      <c r="I21" s="108" t="s">
        <v>346</v>
      </c>
      <c r="J21" s="108" t="s">
        <v>89</v>
      </c>
      <c r="K21" s="108" t="s">
        <v>345</v>
      </c>
      <c r="L21" s="108">
        <v>4</v>
      </c>
      <c r="M21" s="99"/>
    </row>
    <row r="22" spans="1:32" ht="14.25" customHeight="1" x14ac:dyDescent="0.25">
      <c r="A22" s="100" t="s">
        <v>362</v>
      </c>
      <c r="B22" s="101" t="s">
        <v>93</v>
      </c>
      <c r="C22" s="42">
        <v>5</v>
      </c>
      <c r="D22" s="42">
        <v>6</v>
      </c>
      <c r="E22" s="107">
        <v>44364</v>
      </c>
      <c r="F22" s="98" t="s">
        <v>89</v>
      </c>
      <c r="G22" s="98" t="s">
        <v>89</v>
      </c>
      <c r="H22" s="104" t="s">
        <v>345</v>
      </c>
      <c r="I22" s="108" t="s">
        <v>346</v>
      </c>
      <c r="J22" s="108" t="s">
        <v>89</v>
      </c>
      <c r="K22" s="108" t="s">
        <v>345</v>
      </c>
      <c r="L22" s="108">
        <v>0</v>
      </c>
      <c r="M22" s="99"/>
    </row>
    <row r="23" spans="1:32" ht="14.25" customHeight="1" x14ac:dyDescent="0.25">
      <c r="A23" s="95" t="s">
        <v>363</v>
      </c>
      <c r="B23" s="101" t="s">
        <v>93</v>
      </c>
      <c r="C23" s="42">
        <v>41</v>
      </c>
      <c r="D23" s="42">
        <v>42</v>
      </c>
      <c r="E23" s="107">
        <v>44364</v>
      </c>
      <c r="F23" s="98" t="s">
        <v>89</v>
      </c>
      <c r="G23" s="98" t="s">
        <v>89</v>
      </c>
      <c r="H23" s="104" t="s">
        <v>345</v>
      </c>
      <c r="I23" s="108" t="s">
        <v>346</v>
      </c>
      <c r="J23" s="108" t="s">
        <v>89</v>
      </c>
      <c r="K23" s="108" t="s">
        <v>345</v>
      </c>
      <c r="L23" s="108">
        <v>0</v>
      </c>
      <c r="M23" s="99"/>
    </row>
    <row r="24" spans="1:32" ht="14.25" customHeight="1" x14ac:dyDescent="0.25">
      <c r="A24" s="100" t="s">
        <v>364</v>
      </c>
      <c r="B24" s="101" t="s">
        <v>93</v>
      </c>
      <c r="C24" s="42">
        <v>67</v>
      </c>
      <c r="D24" s="42">
        <v>68</v>
      </c>
      <c r="E24" s="107">
        <v>44364</v>
      </c>
      <c r="F24" s="98" t="s">
        <v>89</v>
      </c>
      <c r="G24" s="98" t="s">
        <v>89</v>
      </c>
      <c r="H24" s="104" t="s">
        <v>345</v>
      </c>
      <c r="I24" s="108" t="s">
        <v>346</v>
      </c>
      <c r="J24" s="108" t="s">
        <v>89</v>
      </c>
      <c r="K24" s="108" t="s">
        <v>345</v>
      </c>
      <c r="L24" s="108">
        <v>0</v>
      </c>
      <c r="M24" s="99"/>
    </row>
    <row r="25" spans="1:32" ht="15.75" customHeight="1" x14ac:dyDescent="0.25">
      <c r="A25" s="95" t="s">
        <v>365</v>
      </c>
      <c r="B25" s="101" t="s">
        <v>93</v>
      </c>
      <c r="C25" s="42">
        <v>57</v>
      </c>
      <c r="D25" s="42">
        <v>58</v>
      </c>
      <c r="E25" s="107">
        <v>44364</v>
      </c>
      <c r="F25" s="98" t="s">
        <v>89</v>
      </c>
      <c r="G25" s="98" t="s">
        <v>89</v>
      </c>
      <c r="H25" s="108" t="s">
        <v>345</v>
      </c>
      <c r="I25" s="108" t="s">
        <v>346</v>
      </c>
      <c r="J25" s="108" t="s">
        <v>89</v>
      </c>
      <c r="K25" s="108" t="s">
        <v>345</v>
      </c>
      <c r="L25" s="108">
        <v>1</v>
      </c>
      <c r="M25" s="99"/>
    </row>
    <row r="26" spans="1:32" ht="14.25" customHeight="1" x14ac:dyDescent="0.25">
      <c r="A26" s="100" t="s">
        <v>367</v>
      </c>
      <c r="B26" s="101" t="s">
        <v>93</v>
      </c>
      <c r="C26" s="42">
        <v>7</v>
      </c>
      <c r="D26" s="42">
        <v>8</v>
      </c>
      <c r="E26" s="107">
        <v>44365</v>
      </c>
      <c r="F26" s="98" t="s">
        <v>89</v>
      </c>
      <c r="G26" s="98" t="s">
        <v>89</v>
      </c>
      <c r="H26" s="108" t="s">
        <v>345</v>
      </c>
      <c r="I26" s="108" t="s">
        <v>366</v>
      </c>
      <c r="J26" s="108" t="s">
        <v>89</v>
      </c>
      <c r="K26" s="108" t="s">
        <v>345</v>
      </c>
      <c r="L26" s="108">
        <v>0</v>
      </c>
      <c r="M26" s="99"/>
    </row>
    <row r="27" spans="1:32" ht="14.25" customHeight="1" x14ac:dyDescent="0.25">
      <c r="A27" s="95" t="s">
        <v>368</v>
      </c>
      <c r="B27" s="101" t="s">
        <v>93</v>
      </c>
      <c r="C27" s="42">
        <v>35</v>
      </c>
      <c r="D27" s="42">
        <v>36</v>
      </c>
      <c r="E27" s="107">
        <v>44365</v>
      </c>
      <c r="F27" s="98" t="s">
        <v>89</v>
      </c>
      <c r="G27" s="98" t="s">
        <v>89</v>
      </c>
      <c r="H27" s="108" t="s">
        <v>345</v>
      </c>
      <c r="I27" s="108" t="s">
        <v>366</v>
      </c>
      <c r="J27" s="108" t="s">
        <v>89</v>
      </c>
      <c r="K27" s="108" t="s">
        <v>345</v>
      </c>
      <c r="L27" s="108">
        <v>0</v>
      </c>
      <c r="M27" s="99"/>
    </row>
    <row r="28" spans="1:32" ht="14.25" customHeight="1" x14ac:dyDescent="0.25">
      <c r="A28" s="100" t="s">
        <v>369</v>
      </c>
      <c r="B28" s="101" t="s">
        <v>93</v>
      </c>
      <c r="C28" s="42">
        <v>57</v>
      </c>
      <c r="D28" s="42">
        <v>58</v>
      </c>
      <c r="E28" s="107">
        <v>44365</v>
      </c>
      <c r="F28" s="98" t="s">
        <v>89</v>
      </c>
      <c r="G28" s="98" t="s">
        <v>89</v>
      </c>
      <c r="H28" s="108" t="s">
        <v>345</v>
      </c>
      <c r="I28" s="108" t="s">
        <v>366</v>
      </c>
      <c r="J28" s="108" t="s">
        <v>89</v>
      </c>
      <c r="K28" s="108" t="s">
        <v>345</v>
      </c>
      <c r="L28" s="108">
        <v>0</v>
      </c>
      <c r="M28" s="99"/>
    </row>
    <row r="29" spans="1:32" ht="15.75" customHeight="1" x14ac:dyDescent="0.25">
      <c r="A29" s="95" t="s">
        <v>370</v>
      </c>
      <c r="B29" s="101" t="s">
        <v>93</v>
      </c>
      <c r="C29" s="42">
        <v>71</v>
      </c>
      <c r="D29" s="42">
        <v>72</v>
      </c>
      <c r="E29" s="107">
        <v>44365</v>
      </c>
      <c r="F29" s="98" t="s">
        <v>89</v>
      </c>
      <c r="G29" s="98" t="s">
        <v>89</v>
      </c>
      <c r="H29" s="98" t="s">
        <v>345</v>
      </c>
      <c r="I29" s="108" t="s">
        <v>366</v>
      </c>
      <c r="J29" s="108" t="s">
        <v>89</v>
      </c>
      <c r="K29" s="108" t="s">
        <v>345</v>
      </c>
      <c r="L29" s="108">
        <v>0</v>
      </c>
      <c r="M29" s="99"/>
    </row>
    <row r="30" spans="1:32" ht="14.25" customHeight="1" x14ac:dyDescent="0.25">
      <c r="A30" s="100" t="s">
        <v>371</v>
      </c>
      <c r="B30" s="101" t="s">
        <v>93</v>
      </c>
      <c r="C30" s="42">
        <v>55</v>
      </c>
      <c r="D30" s="42">
        <v>56</v>
      </c>
      <c r="E30" s="107">
        <v>44366</v>
      </c>
      <c r="F30" s="98" t="s">
        <v>89</v>
      </c>
      <c r="G30" s="98" t="s">
        <v>89</v>
      </c>
      <c r="H30" s="98" t="s">
        <v>345</v>
      </c>
      <c r="I30" s="108" t="s">
        <v>366</v>
      </c>
      <c r="J30" s="108" t="s">
        <v>89</v>
      </c>
      <c r="K30" s="108" t="s">
        <v>345</v>
      </c>
      <c r="L30" s="108">
        <v>0</v>
      </c>
      <c r="M30" s="99"/>
    </row>
    <row r="31" spans="1:32" ht="15.75" customHeight="1" x14ac:dyDescent="0.25">
      <c r="A31" s="95" t="s">
        <v>482</v>
      </c>
      <c r="B31" s="101" t="s">
        <v>93</v>
      </c>
      <c r="C31" s="42">
        <v>35</v>
      </c>
      <c r="D31" s="42">
        <v>36</v>
      </c>
      <c r="E31" s="107">
        <v>44366</v>
      </c>
      <c r="F31" s="98" t="s">
        <v>89</v>
      </c>
      <c r="G31" s="98" t="s">
        <v>89</v>
      </c>
      <c r="H31" s="98" t="s">
        <v>345</v>
      </c>
      <c r="I31" s="108" t="s">
        <v>366</v>
      </c>
      <c r="J31" s="108" t="s">
        <v>89</v>
      </c>
      <c r="K31" s="108" t="s">
        <v>345</v>
      </c>
      <c r="L31" s="108">
        <v>0</v>
      </c>
      <c r="M31" s="99"/>
    </row>
    <row r="32" spans="1:32" ht="14.25" customHeight="1" x14ac:dyDescent="0.25">
      <c r="A32" s="100" t="s">
        <v>483</v>
      </c>
      <c r="B32" s="101" t="s">
        <v>93</v>
      </c>
      <c r="C32" s="42">
        <v>57</v>
      </c>
      <c r="D32" s="42">
        <v>58</v>
      </c>
      <c r="E32" s="107">
        <v>44366</v>
      </c>
      <c r="F32" s="98" t="s">
        <v>89</v>
      </c>
      <c r="G32" s="98" t="s">
        <v>89</v>
      </c>
      <c r="H32" s="98" t="s">
        <v>345</v>
      </c>
      <c r="I32" s="108" t="s">
        <v>366</v>
      </c>
      <c r="J32" s="98" t="s">
        <v>89</v>
      </c>
      <c r="K32" s="98" t="s">
        <v>345</v>
      </c>
      <c r="L32" s="108">
        <v>1</v>
      </c>
      <c r="M32" s="99"/>
    </row>
    <row r="33" spans="1:13" ht="14.25" customHeight="1" x14ac:dyDescent="0.25">
      <c r="A33" s="95" t="s">
        <v>372</v>
      </c>
      <c r="B33" s="101" t="s">
        <v>93</v>
      </c>
      <c r="C33" s="42">
        <v>7</v>
      </c>
      <c r="D33" s="42">
        <v>8</v>
      </c>
      <c r="E33" s="107">
        <v>44366</v>
      </c>
      <c r="F33" s="98" t="s">
        <v>89</v>
      </c>
      <c r="G33" s="98" t="s">
        <v>89</v>
      </c>
      <c r="H33" s="98" t="s">
        <v>345</v>
      </c>
      <c r="I33" s="108" t="s">
        <v>346</v>
      </c>
      <c r="J33" s="108" t="s">
        <v>89</v>
      </c>
      <c r="K33" s="108" t="s">
        <v>345</v>
      </c>
      <c r="L33" s="108">
        <v>0</v>
      </c>
      <c r="M33" s="99"/>
    </row>
    <row r="34" spans="1:13" ht="14.25" customHeight="1" x14ac:dyDescent="0.25">
      <c r="A34" s="100" t="s">
        <v>373</v>
      </c>
      <c r="B34" s="101" t="s">
        <v>93</v>
      </c>
      <c r="C34" s="42">
        <v>55</v>
      </c>
      <c r="D34" s="42">
        <v>56</v>
      </c>
      <c r="E34" s="107">
        <v>44367</v>
      </c>
      <c r="F34" s="98" t="s">
        <v>89</v>
      </c>
      <c r="G34" s="98" t="s">
        <v>89</v>
      </c>
      <c r="H34" s="98" t="s">
        <v>345</v>
      </c>
      <c r="I34" s="108" t="s">
        <v>346</v>
      </c>
      <c r="J34" s="108" t="s">
        <v>89</v>
      </c>
      <c r="K34" s="108" t="s">
        <v>345</v>
      </c>
      <c r="L34" s="108">
        <v>0</v>
      </c>
      <c r="M34" s="99"/>
    </row>
    <row r="35" spans="1:13" ht="14.25" customHeight="1" x14ac:dyDescent="0.25">
      <c r="A35" s="95" t="s">
        <v>374</v>
      </c>
      <c r="B35" s="101" t="s">
        <v>93</v>
      </c>
      <c r="C35" s="42">
        <v>43</v>
      </c>
      <c r="D35" s="42">
        <v>44</v>
      </c>
      <c r="E35" s="107">
        <v>44368</v>
      </c>
      <c r="F35" s="98" t="s">
        <v>89</v>
      </c>
      <c r="G35" s="98" t="s">
        <v>89</v>
      </c>
      <c r="H35" s="108" t="s">
        <v>345</v>
      </c>
      <c r="I35" s="108" t="s">
        <v>346</v>
      </c>
      <c r="J35" s="108" t="s">
        <v>89</v>
      </c>
      <c r="K35" s="108" t="s">
        <v>345</v>
      </c>
      <c r="L35" s="108">
        <v>1</v>
      </c>
      <c r="M35" s="99"/>
    </row>
    <row r="36" spans="1:13" ht="14.25" customHeight="1" x14ac:dyDescent="0.25">
      <c r="A36" s="100" t="s">
        <v>484</v>
      </c>
      <c r="B36" s="101" t="s">
        <v>88</v>
      </c>
      <c r="C36" s="42">
        <v>144</v>
      </c>
      <c r="D36" s="42">
        <v>145</v>
      </c>
      <c r="E36" s="107">
        <v>44368</v>
      </c>
      <c r="F36" s="98" t="s">
        <v>89</v>
      </c>
      <c r="G36" s="98" t="s">
        <v>89</v>
      </c>
      <c r="H36" s="98" t="s">
        <v>345</v>
      </c>
      <c r="I36" s="108" t="s">
        <v>346</v>
      </c>
      <c r="J36" s="108" t="s">
        <v>89</v>
      </c>
      <c r="K36" s="108" t="s">
        <v>345</v>
      </c>
      <c r="L36" s="108">
        <v>1</v>
      </c>
      <c r="M36" s="99"/>
    </row>
    <row r="37" spans="1:13" ht="14.25" customHeight="1" x14ac:dyDescent="0.25">
      <c r="A37" s="95" t="s">
        <v>485</v>
      </c>
      <c r="B37" s="101" t="s">
        <v>88</v>
      </c>
      <c r="C37" s="42">
        <v>135</v>
      </c>
      <c r="D37" s="42">
        <v>136</v>
      </c>
      <c r="E37" s="107">
        <v>44369</v>
      </c>
      <c r="F37" s="98" t="s">
        <v>89</v>
      </c>
      <c r="G37" s="98" t="s">
        <v>89</v>
      </c>
      <c r="H37" s="98" t="s">
        <v>345</v>
      </c>
      <c r="I37" s="108" t="s">
        <v>346</v>
      </c>
      <c r="J37" s="108" t="s">
        <v>89</v>
      </c>
      <c r="K37" s="108" t="s">
        <v>345</v>
      </c>
      <c r="L37" s="108">
        <v>1</v>
      </c>
      <c r="M37" s="99"/>
    </row>
    <row r="38" spans="1:13" ht="14.25" customHeight="1" x14ac:dyDescent="0.25">
      <c r="A38" s="100" t="s">
        <v>375</v>
      </c>
      <c r="B38" s="101" t="s">
        <v>88</v>
      </c>
      <c r="C38" s="42">
        <v>135</v>
      </c>
      <c r="D38" s="42">
        <v>136</v>
      </c>
      <c r="E38" s="107">
        <v>44369</v>
      </c>
      <c r="F38" s="98" t="s">
        <v>89</v>
      </c>
      <c r="G38" s="98" t="s">
        <v>89</v>
      </c>
      <c r="H38" s="98" t="s">
        <v>345</v>
      </c>
      <c r="I38" s="108" t="s">
        <v>346</v>
      </c>
      <c r="J38" s="108" t="s">
        <v>89</v>
      </c>
      <c r="K38" s="108" t="s">
        <v>345</v>
      </c>
      <c r="L38" s="108">
        <v>1</v>
      </c>
      <c r="M38" s="99"/>
    </row>
    <row r="39" spans="1:13" ht="14.25" customHeight="1" x14ac:dyDescent="0.25">
      <c r="A39" s="95" t="s">
        <v>486</v>
      </c>
      <c r="B39" s="101" t="s">
        <v>88</v>
      </c>
      <c r="C39" s="42">
        <v>99</v>
      </c>
      <c r="D39" s="42">
        <v>100</v>
      </c>
      <c r="E39" s="107">
        <v>44371</v>
      </c>
      <c r="F39" s="98" t="s">
        <v>89</v>
      </c>
      <c r="G39" s="98" t="s">
        <v>89</v>
      </c>
      <c r="H39" s="98" t="s">
        <v>345</v>
      </c>
      <c r="I39" s="108" t="s">
        <v>346</v>
      </c>
      <c r="J39" s="108" t="s">
        <v>89</v>
      </c>
      <c r="K39" s="108" t="s">
        <v>345</v>
      </c>
      <c r="L39" s="108">
        <v>1</v>
      </c>
      <c r="M39" s="99"/>
    </row>
    <row r="40" spans="1:13" ht="14.25" customHeight="1" x14ac:dyDescent="0.25">
      <c r="A40" s="100" t="s">
        <v>487</v>
      </c>
      <c r="B40" s="101" t="s">
        <v>88</v>
      </c>
      <c r="C40" s="42">
        <v>115</v>
      </c>
      <c r="D40" s="42">
        <v>116</v>
      </c>
      <c r="E40" s="107">
        <v>44371</v>
      </c>
      <c r="F40" s="98" t="s">
        <v>89</v>
      </c>
      <c r="G40" s="98" t="s">
        <v>89</v>
      </c>
      <c r="H40" s="98" t="s">
        <v>345</v>
      </c>
      <c r="I40" s="98" t="s">
        <v>346</v>
      </c>
      <c r="J40" s="98" t="s">
        <v>89</v>
      </c>
      <c r="K40" s="98" t="s">
        <v>345</v>
      </c>
      <c r="L40" s="108">
        <v>1</v>
      </c>
      <c r="M40" s="99"/>
    </row>
    <row r="41" spans="1:13" ht="14.25" customHeight="1" x14ac:dyDescent="0.25">
      <c r="A41" s="95" t="s">
        <v>376</v>
      </c>
      <c r="B41" s="101" t="s">
        <v>93</v>
      </c>
      <c r="C41" s="42">
        <v>17</v>
      </c>
      <c r="D41" s="42">
        <v>18</v>
      </c>
      <c r="E41" s="107">
        <v>44371</v>
      </c>
      <c r="F41" s="98" t="s">
        <v>89</v>
      </c>
      <c r="G41" s="98" t="s">
        <v>89</v>
      </c>
      <c r="H41" s="98" t="s">
        <v>345</v>
      </c>
      <c r="I41" s="108" t="s">
        <v>346</v>
      </c>
      <c r="J41" s="108" t="s">
        <v>89</v>
      </c>
      <c r="K41" s="108" t="s">
        <v>345</v>
      </c>
      <c r="L41" s="108">
        <v>0</v>
      </c>
      <c r="M41" s="99"/>
    </row>
    <row r="42" spans="1:13" ht="14.25" customHeight="1" x14ac:dyDescent="0.25">
      <c r="A42" s="100" t="s">
        <v>488</v>
      </c>
      <c r="B42" s="101" t="s">
        <v>93</v>
      </c>
      <c r="C42" s="42">
        <v>26</v>
      </c>
      <c r="D42" s="42">
        <v>27</v>
      </c>
      <c r="E42" s="107">
        <v>44372</v>
      </c>
      <c r="F42" s="98" t="s">
        <v>89</v>
      </c>
      <c r="G42" s="98" t="s">
        <v>89</v>
      </c>
      <c r="H42" s="108" t="s">
        <v>345</v>
      </c>
      <c r="I42" s="108" t="s">
        <v>346</v>
      </c>
      <c r="J42" s="108" t="s">
        <v>89</v>
      </c>
      <c r="K42" s="108" t="s">
        <v>345</v>
      </c>
      <c r="L42" s="108">
        <v>0</v>
      </c>
      <c r="M42" s="99"/>
    </row>
    <row r="43" spans="1:13" ht="14.25" customHeight="1" x14ac:dyDescent="0.25">
      <c r="A43" s="95" t="s">
        <v>377</v>
      </c>
      <c r="B43" s="101" t="s">
        <v>88</v>
      </c>
      <c r="C43" s="42">
        <v>152</v>
      </c>
      <c r="D43" s="42">
        <v>153</v>
      </c>
      <c r="E43" s="107">
        <v>44372</v>
      </c>
      <c r="F43" s="98" t="s">
        <v>89</v>
      </c>
      <c r="G43" s="98" t="s">
        <v>89</v>
      </c>
      <c r="H43" s="98" t="s">
        <v>345</v>
      </c>
      <c r="I43" s="108" t="s">
        <v>346</v>
      </c>
      <c r="J43" s="108" t="s">
        <v>89</v>
      </c>
      <c r="K43" s="108" t="s">
        <v>345</v>
      </c>
      <c r="L43" s="108">
        <v>0</v>
      </c>
      <c r="M43" s="99"/>
    </row>
    <row r="44" spans="1:13" ht="14.25" customHeight="1" x14ac:dyDescent="0.25">
      <c r="A44" s="100" t="s">
        <v>489</v>
      </c>
      <c r="B44" s="101" t="s">
        <v>93</v>
      </c>
      <c r="C44" s="42">
        <v>70</v>
      </c>
      <c r="D44" s="42">
        <v>71</v>
      </c>
      <c r="E44" s="107">
        <v>44373</v>
      </c>
      <c r="F44" s="98" t="s">
        <v>89</v>
      </c>
      <c r="G44" s="98" t="s">
        <v>89</v>
      </c>
      <c r="H44" s="98" t="s">
        <v>345</v>
      </c>
      <c r="I44" s="108" t="s">
        <v>346</v>
      </c>
      <c r="J44" s="108" t="s">
        <v>89</v>
      </c>
      <c r="K44" s="108" t="s">
        <v>345</v>
      </c>
      <c r="L44" s="108">
        <v>0</v>
      </c>
      <c r="M44" s="99"/>
    </row>
    <row r="45" spans="1:13" ht="14.25" customHeight="1" x14ac:dyDescent="0.25">
      <c r="A45" s="95" t="s">
        <v>490</v>
      </c>
      <c r="B45" s="101" t="s">
        <v>93</v>
      </c>
      <c r="C45" s="42">
        <v>36</v>
      </c>
      <c r="D45" s="42">
        <v>37</v>
      </c>
      <c r="E45" s="107">
        <v>44374</v>
      </c>
      <c r="F45" s="98" t="s">
        <v>89</v>
      </c>
      <c r="G45" s="98" t="s">
        <v>89</v>
      </c>
      <c r="H45" s="98" t="s">
        <v>345</v>
      </c>
      <c r="I45" s="108" t="s">
        <v>346</v>
      </c>
      <c r="J45" s="108" t="s">
        <v>89</v>
      </c>
      <c r="K45" s="108" t="s">
        <v>345</v>
      </c>
      <c r="L45" s="108">
        <v>0</v>
      </c>
      <c r="M45" s="99"/>
    </row>
    <row r="46" spans="1:13" ht="14.25" customHeight="1" x14ac:dyDescent="0.25">
      <c r="A46" s="100" t="s">
        <v>491</v>
      </c>
      <c r="B46" s="101" t="s">
        <v>93</v>
      </c>
      <c r="C46" s="42">
        <v>75</v>
      </c>
      <c r="D46" s="42">
        <v>76</v>
      </c>
      <c r="E46" s="107">
        <v>44374</v>
      </c>
      <c r="F46" s="98" t="s">
        <v>89</v>
      </c>
      <c r="G46" s="98" t="s">
        <v>89</v>
      </c>
      <c r="H46" s="98" t="s">
        <v>345</v>
      </c>
      <c r="I46" s="108" t="s">
        <v>346</v>
      </c>
      <c r="J46" s="108" t="s">
        <v>89</v>
      </c>
      <c r="K46" s="108" t="s">
        <v>345</v>
      </c>
      <c r="L46" s="108">
        <v>0</v>
      </c>
      <c r="M46" s="99"/>
    </row>
    <row r="47" spans="1:13" ht="14.25" customHeight="1" x14ac:dyDescent="0.25">
      <c r="A47" s="95" t="s">
        <v>378</v>
      </c>
      <c r="B47" s="101" t="s">
        <v>88</v>
      </c>
      <c r="C47" s="42">
        <v>145</v>
      </c>
      <c r="D47" s="42">
        <v>146</v>
      </c>
      <c r="E47" s="107">
        <v>44374</v>
      </c>
      <c r="F47" s="98" t="s">
        <v>89</v>
      </c>
      <c r="G47" s="98" t="s">
        <v>89</v>
      </c>
      <c r="H47" s="98" t="s">
        <v>345</v>
      </c>
      <c r="I47" s="108" t="s">
        <v>346</v>
      </c>
      <c r="J47" s="108" t="s">
        <v>89</v>
      </c>
      <c r="K47" s="98" t="s">
        <v>345</v>
      </c>
      <c r="L47" s="108">
        <v>0</v>
      </c>
      <c r="M47" s="99"/>
    </row>
    <row r="48" spans="1:13" ht="14.25" customHeight="1" x14ac:dyDescent="0.25">
      <c r="A48" s="100" t="s">
        <v>379</v>
      </c>
      <c r="B48" s="101" t="s">
        <v>93</v>
      </c>
      <c r="C48" s="42">
        <v>2</v>
      </c>
      <c r="D48" s="42">
        <v>3</v>
      </c>
      <c r="E48" s="107">
        <v>44374</v>
      </c>
      <c r="F48" s="98" t="s">
        <v>89</v>
      </c>
      <c r="G48" s="98" t="s">
        <v>89</v>
      </c>
      <c r="H48" s="98" t="s">
        <v>345</v>
      </c>
      <c r="I48" s="108" t="s">
        <v>346</v>
      </c>
      <c r="J48" s="108" t="s">
        <v>89</v>
      </c>
      <c r="K48" s="98" t="s">
        <v>345</v>
      </c>
      <c r="L48" s="108">
        <v>1</v>
      </c>
      <c r="M48" s="99"/>
    </row>
    <row r="49" spans="1:32" ht="16.5" customHeight="1" x14ac:dyDescent="0.25">
      <c r="A49" s="95" t="s">
        <v>380</v>
      </c>
      <c r="B49" s="101" t="s">
        <v>93</v>
      </c>
      <c r="C49" s="42">
        <v>68</v>
      </c>
      <c r="D49" s="42">
        <v>69</v>
      </c>
      <c r="E49" s="107">
        <v>44374</v>
      </c>
      <c r="F49" s="98" t="s">
        <v>89</v>
      </c>
      <c r="G49" s="98" t="s">
        <v>89</v>
      </c>
      <c r="H49" s="98" t="s">
        <v>345</v>
      </c>
      <c r="I49" s="108" t="s">
        <v>346</v>
      </c>
      <c r="J49" s="108" t="s">
        <v>89</v>
      </c>
      <c r="K49" s="98" t="s">
        <v>345</v>
      </c>
      <c r="L49" s="108">
        <v>1</v>
      </c>
      <c r="M49" s="99"/>
    </row>
    <row r="50" spans="1:32" ht="16.5" customHeight="1" x14ac:dyDescent="0.25">
      <c r="A50" s="100" t="s">
        <v>381</v>
      </c>
      <c r="B50" s="101" t="s">
        <v>93</v>
      </c>
      <c r="C50" s="42">
        <v>72</v>
      </c>
      <c r="D50" s="42">
        <v>73</v>
      </c>
      <c r="E50" s="107">
        <v>44374</v>
      </c>
      <c r="F50" s="98" t="s">
        <v>89</v>
      </c>
      <c r="G50" s="98" t="s">
        <v>89</v>
      </c>
      <c r="H50" s="98" t="s">
        <v>345</v>
      </c>
      <c r="I50" s="108" t="s">
        <v>346</v>
      </c>
      <c r="J50" s="108" t="s">
        <v>89</v>
      </c>
      <c r="K50" s="98" t="s">
        <v>345</v>
      </c>
      <c r="L50" s="108">
        <v>0</v>
      </c>
      <c r="M50" s="99"/>
    </row>
    <row r="51" spans="1:32" ht="14.25" customHeight="1" x14ac:dyDescent="0.25">
      <c r="A51" s="95" t="s">
        <v>382</v>
      </c>
      <c r="B51" s="101" t="s">
        <v>93</v>
      </c>
      <c r="C51" s="42">
        <v>39</v>
      </c>
      <c r="D51" s="42">
        <v>40</v>
      </c>
      <c r="E51" s="107">
        <v>44375</v>
      </c>
      <c r="F51" s="98" t="s">
        <v>89</v>
      </c>
      <c r="G51" s="98" t="s">
        <v>89</v>
      </c>
      <c r="H51" s="98" t="s">
        <v>345</v>
      </c>
      <c r="I51" s="108" t="s">
        <v>346</v>
      </c>
      <c r="J51" s="108" t="s">
        <v>89</v>
      </c>
      <c r="K51" s="98" t="s">
        <v>345</v>
      </c>
      <c r="L51" s="108">
        <v>1</v>
      </c>
      <c r="M51" s="99"/>
    </row>
    <row r="52" spans="1:32" ht="14.25" customHeight="1" x14ac:dyDescent="0.25">
      <c r="A52" s="100" t="s">
        <v>383</v>
      </c>
      <c r="B52" s="101" t="s">
        <v>93</v>
      </c>
      <c r="C52" s="42">
        <v>72</v>
      </c>
      <c r="D52" s="42">
        <v>73</v>
      </c>
      <c r="E52" s="107">
        <v>44375</v>
      </c>
      <c r="F52" s="98" t="s">
        <v>89</v>
      </c>
      <c r="G52" s="98" t="s">
        <v>89</v>
      </c>
      <c r="H52" s="98" t="s">
        <v>345</v>
      </c>
      <c r="I52" s="108" t="s">
        <v>346</v>
      </c>
      <c r="J52" s="108" t="s">
        <v>89</v>
      </c>
      <c r="K52" s="98" t="s">
        <v>345</v>
      </c>
      <c r="L52" s="108">
        <v>1</v>
      </c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</row>
    <row r="53" spans="1:32" ht="14.25" customHeight="1" x14ac:dyDescent="0.25">
      <c r="A53" s="95" t="s">
        <v>384</v>
      </c>
      <c r="B53" s="101" t="s">
        <v>93</v>
      </c>
      <c r="C53" s="42">
        <v>67</v>
      </c>
      <c r="D53" s="42">
        <v>68</v>
      </c>
      <c r="E53" s="107">
        <v>44375</v>
      </c>
      <c r="F53" s="98" t="s">
        <v>89</v>
      </c>
      <c r="G53" s="98" t="s">
        <v>89</v>
      </c>
      <c r="H53" s="98" t="s">
        <v>345</v>
      </c>
      <c r="I53" s="108" t="s">
        <v>346</v>
      </c>
      <c r="J53" s="108" t="s">
        <v>89</v>
      </c>
      <c r="K53" s="98" t="s">
        <v>345</v>
      </c>
      <c r="L53" s="108">
        <v>0</v>
      </c>
      <c r="M53" s="99"/>
    </row>
    <row r="54" spans="1:32" ht="14.25" customHeight="1" x14ac:dyDescent="0.25">
      <c r="A54" s="100" t="s">
        <v>385</v>
      </c>
      <c r="B54" s="101" t="s">
        <v>93</v>
      </c>
      <c r="C54" s="42">
        <v>44</v>
      </c>
      <c r="D54" s="42">
        <v>45</v>
      </c>
      <c r="E54" s="107">
        <v>44376</v>
      </c>
      <c r="F54" s="98" t="s">
        <v>89</v>
      </c>
      <c r="G54" s="98" t="s">
        <v>89</v>
      </c>
      <c r="H54" s="98" t="s">
        <v>345</v>
      </c>
      <c r="I54" s="108" t="s">
        <v>346</v>
      </c>
      <c r="J54" s="108" t="s">
        <v>89</v>
      </c>
      <c r="K54" s="98" t="s">
        <v>345</v>
      </c>
      <c r="L54" s="108">
        <v>0</v>
      </c>
      <c r="M54" s="99"/>
    </row>
    <row r="55" spans="1:32" ht="14.25" customHeight="1" x14ac:dyDescent="0.25">
      <c r="A55" s="95" t="s">
        <v>386</v>
      </c>
      <c r="B55" s="101" t="s">
        <v>88</v>
      </c>
      <c r="C55" s="42">
        <v>87</v>
      </c>
      <c r="D55" s="42">
        <v>88</v>
      </c>
      <c r="E55" s="107">
        <v>44376</v>
      </c>
      <c r="F55" s="98" t="s">
        <v>89</v>
      </c>
      <c r="G55" s="98" t="s">
        <v>89</v>
      </c>
      <c r="H55" s="98" t="s">
        <v>345</v>
      </c>
      <c r="I55" s="108" t="s">
        <v>346</v>
      </c>
      <c r="J55" s="108" t="s">
        <v>89</v>
      </c>
      <c r="K55" s="98" t="s">
        <v>345</v>
      </c>
      <c r="L55" s="108">
        <v>3</v>
      </c>
      <c r="M55" s="99"/>
    </row>
    <row r="56" spans="1:32" ht="14.25" customHeight="1" x14ac:dyDescent="0.25">
      <c r="A56" s="100" t="s">
        <v>387</v>
      </c>
      <c r="B56" s="101" t="s">
        <v>93</v>
      </c>
      <c r="C56" s="42">
        <v>38</v>
      </c>
      <c r="D56" s="42">
        <v>39</v>
      </c>
      <c r="E56" s="107">
        <v>44376</v>
      </c>
      <c r="F56" s="98" t="s">
        <v>89</v>
      </c>
      <c r="G56" s="98" t="s">
        <v>89</v>
      </c>
      <c r="H56" s="98" t="s">
        <v>345</v>
      </c>
      <c r="I56" s="108" t="s">
        <v>346</v>
      </c>
      <c r="J56" s="108" t="s">
        <v>89</v>
      </c>
      <c r="K56" s="98" t="s">
        <v>345</v>
      </c>
      <c r="L56" s="108">
        <v>0</v>
      </c>
      <c r="M56" s="99"/>
    </row>
    <row r="57" spans="1:32" ht="14.25" customHeight="1" x14ac:dyDescent="0.25">
      <c r="A57" s="95" t="s">
        <v>492</v>
      </c>
      <c r="B57" s="101" t="s">
        <v>88</v>
      </c>
      <c r="C57" s="42">
        <v>88</v>
      </c>
      <c r="D57" s="42">
        <v>89</v>
      </c>
      <c r="E57" s="107">
        <v>44377</v>
      </c>
      <c r="F57" s="98" t="s">
        <v>89</v>
      </c>
      <c r="G57" s="98" t="s">
        <v>89</v>
      </c>
      <c r="H57" s="98" t="s">
        <v>345</v>
      </c>
      <c r="I57" s="108" t="s">
        <v>346</v>
      </c>
      <c r="J57" s="108" t="s">
        <v>89</v>
      </c>
      <c r="K57" s="98" t="s">
        <v>345</v>
      </c>
      <c r="L57" s="108">
        <v>3</v>
      </c>
      <c r="M57" s="99"/>
    </row>
    <row r="58" spans="1:32" ht="14.25" customHeight="1" x14ac:dyDescent="0.25">
      <c r="A58" s="100" t="s">
        <v>493</v>
      </c>
      <c r="B58" s="101" t="s">
        <v>88</v>
      </c>
      <c r="C58" s="42">
        <v>135</v>
      </c>
      <c r="D58" s="42">
        <v>136</v>
      </c>
      <c r="E58" s="107">
        <v>44377</v>
      </c>
      <c r="F58" s="98" t="s">
        <v>89</v>
      </c>
      <c r="G58" s="98" t="s">
        <v>89</v>
      </c>
      <c r="H58" s="98" t="s">
        <v>345</v>
      </c>
      <c r="I58" s="108" t="s">
        <v>346</v>
      </c>
      <c r="J58" s="108" t="s">
        <v>89</v>
      </c>
      <c r="K58" s="98" t="s">
        <v>345</v>
      </c>
      <c r="L58" s="108">
        <v>0</v>
      </c>
      <c r="M58" s="99"/>
    </row>
    <row r="59" spans="1:32" ht="14.25" customHeight="1" x14ac:dyDescent="0.25">
      <c r="A59" s="95" t="s">
        <v>494</v>
      </c>
      <c r="B59" s="101" t="s">
        <v>88</v>
      </c>
      <c r="C59" s="42">
        <v>154</v>
      </c>
      <c r="D59" s="42">
        <v>155</v>
      </c>
      <c r="E59" s="107">
        <v>44377</v>
      </c>
      <c r="F59" s="98" t="s">
        <v>89</v>
      </c>
      <c r="G59" s="98" t="s">
        <v>89</v>
      </c>
      <c r="H59" s="98" t="s">
        <v>345</v>
      </c>
      <c r="I59" s="108" t="s">
        <v>346</v>
      </c>
      <c r="J59" s="108" t="s">
        <v>89</v>
      </c>
      <c r="K59" s="98" t="s">
        <v>345</v>
      </c>
      <c r="L59" s="108">
        <v>0</v>
      </c>
      <c r="M59" s="99"/>
    </row>
    <row r="60" spans="1:32" ht="14.25" customHeight="1" x14ac:dyDescent="0.25">
      <c r="A60" s="100" t="s">
        <v>495</v>
      </c>
      <c r="B60" s="101" t="s">
        <v>88</v>
      </c>
      <c r="C60" s="42">
        <v>113</v>
      </c>
      <c r="D60" s="42">
        <v>114</v>
      </c>
      <c r="E60" s="107">
        <v>44379</v>
      </c>
      <c r="F60" s="98" t="s">
        <v>89</v>
      </c>
      <c r="G60" s="98" t="s">
        <v>89</v>
      </c>
      <c r="H60" s="98" t="s">
        <v>345</v>
      </c>
      <c r="I60" s="108" t="s">
        <v>346</v>
      </c>
      <c r="J60" s="108" t="s">
        <v>89</v>
      </c>
      <c r="K60" s="98" t="s">
        <v>345</v>
      </c>
      <c r="L60" s="108">
        <v>0</v>
      </c>
      <c r="M60" s="99"/>
    </row>
    <row r="61" spans="1:32" ht="14.25" customHeight="1" x14ac:dyDescent="0.25">
      <c r="A61" s="95" t="s">
        <v>388</v>
      </c>
      <c r="B61" s="101" t="s">
        <v>88</v>
      </c>
      <c r="C61" s="42">
        <v>157</v>
      </c>
      <c r="D61" s="42">
        <v>158</v>
      </c>
      <c r="E61" s="107">
        <v>44379</v>
      </c>
      <c r="F61" s="98" t="s">
        <v>89</v>
      </c>
      <c r="G61" s="98" t="s">
        <v>89</v>
      </c>
      <c r="H61" s="98" t="s">
        <v>345</v>
      </c>
      <c r="I61" s="108" t="s">
        <v>346</v>
      </c>
      <c r="J61" s="108" t="s">
        <v>89</v>
      </c>
      <c r="K61" s="98" t="s">
        <v>345</v>
      </c>
      <c r="L61" s="108">
        <v>0</v>
      </c>
      <c r="M61" s="99"/>
    </row>
    <row r="62" spans="1:32" ht="14.25" customHeight="1" x14ac:dyDescent="0.25">
      <c r="A62" s="100" t="s">
        <v>389</v>
      </c>
      <c r="B62" s="101" t="s">
        <v>93</v>
      </c>
      <c r="C62" s="42">
        <v>28</v>
      </c>
      <c r="D62" s="42">
        <v>29</v>
      </c>
      <c r="E62" s="107">
        <v>44379</v>
      </c>
      <c r="F62" s="98" t="s">
        <v>89</v>
      </c>
      <c r="G62" s="98" t="s">
        <v>89</v>
      </c>
      <c r="H62" s="98" t="s">
        <v>345</v>
      </c>
      <c r="I62" s="108" t="s">
        <v>346</v>
      </c>
      <c r="J62" s="108" t="s">
        <v>89</v>
      </c>
      <c r="K62" s="98" t="s">
        <v>345</v>
      </c>
      <c r="L62" s="108">
        <v>1</v>
      </c>
      <c r="M62" s="99"/>
    </row>
    <row r="63" spans="1:32" ht="14.25" customHeight="1" x14ac:dyDescent="0.25">
      <c r="A63" s="95" t="s">
        <v>390</v>
      </c>
      <c r="B63" s="101" t="s">
        <v>93</v>
      </c>
      <c r="C63" s="42">
        <v>67</v>
      </c>
      <c r="D63" s="42">
        <v>68</v>
      </c>
      <c r="E63" s="107">
        <v>44380</v>
      </c>
      <c r="F63" s="98" t="s">
        <v>89</v>
      </c>
      <c r="G63" s="98" t="s">
        <v>89</v>
      </c>
      <c r="H63" s="98" t="s">
        <v>345</v>
      </c>
      <c r="I63" s="108" t="s">
        <v>346</v>
      </c>
      <c r="J63" s="108" t="s">
        <v>89</v>
      </c>
      <c r="K63" s="98" t="s">
        <v>345</v>
      </c>
      <c r="L63" s="108">
        <v>5</v>
      </c>
      <c r="M63" s="99"/>
    </row>
    <row r="64" spans="1:32" ht="14.25" customHeight="1" x14ac:dyDescent="0.25">
      <c r="A64" s="100" t="s">
        <v>391</v>
      </c>
      <c r="B64" s="101" t="s">
        <v>93</v>
      </c>
      <c r="C64" s="42">
        <v>20</v>
      </c>
      <c r="D64" s="42">
        <v>21</v>
      </c>
      <c r="E64" s="107">
        <v>44381</v>
      </c>
      <c r="F64" s="98" t="s">
        <v>89</v>
      </c>
      <c r="G64" s="98" t="s">
        <v>89</v>
      </c>
      <c r="H64" s="98" t="s">
        <v>345</v>
      </c>
      <c r="I64" s="108" t="s">
        <v>346</v>
      </c>
      <c r="J64" s="108" t="s">
        <v>89</v>
      </c>
      <c r="K64" s="98" t="s">
        <v>345</v>
      </c>
      <c r="L64" s="108">
        <v>3</v>
      </c>
      <c r="M64" s="99"/>
    </row>
    <row r="65" spans="1:32" ht="14.25" customHeight="1" x14ac:dyDescent="0.25">
      <c r="A65" s="95" t="s">
        <v>392</v>
      </c>
      <c r="B65" s="101" t="s">
        <v>93</v>
      </c>
      <c r="C65" s="42">
        <v>73</v>
      </c>
      <c r="D65" s="42">
        <v>74</v>
      </c>
      <c r="E65" s="107">
        <v>44382</v>
      </c>
      <c r="F65" s="98" t="s">
        <v>89</v>
      </c>
      <c r="G65" s="98" t="s">
        <v>89</v>
      </c>
      <c r="H65" s="98" t="s">
        <v>345</v>
      </c>
      <c r="I65" s="108" t="s">
        <v>346</v>
      </c>
      <c r="J65" s="108" t="s">
        <v>89</v>
      </c>
      <c r="K65" s="98" t="s">
        <v>345</v>
      </c>
      <c r="L65" s="108">
        <v>5</v>
      </c>
      <c r="M65" s="99"/>
    </row>
    <row r="66" spans="1:32" ht="14.25" customHeight="1" x14ac:dyDescent="0.25">
      <c r="A66" s="100" t="s">
        <v>496</v>
      </c>
      <c r="B66" s="101" t="s">
        <v>93</v>
      </c>
      <c r="C66" s="42">
        <v>48</v>
      </c>
      <c r="D66" s="42">
        <v>49</v>
      </c>
      <c r="E66" s="107">
        <v>44383</v>
      </c>
      <c r="F66" s="98" t="s">
        <v>89</v>
      </c>
      <c r="G66" s="98" t="s">
        <v>89</v>
      </c>
      <c r="H66" s="98" t="s">
        <v>345</v>
      </c>
      <c r="I66" s="108" t="s">
        <v>346</v>
      </c>
      <c r="J66" s="108" t="s">
        <v>89</v>
      </c>
      <c r="K66" s="98" t="s">
        <v>345</v>
      </c>
      <c r="L66" s="108">
        <v>0</v>
      </c>
      <c r="M66" s="99"/>
    </row>
    <row r="67" spans="1:32" ht="14.25" customHeight="1" x14ac:dyDescent="0.25">
      <c r="A67" s="95" t="s">
        <v>497</v>
      </c>
      <c r="B67" s="101" t="s">
        <v>93</v>
      </c>
      <c r="C67" s="42">
        <v>30</v>
      </c>
      <c r="D67" s="42">
        <v>31</v>
      </c>
      <c r="E67" s="107">
        <v>44383</v>
      </c>
      <c r="F67" s="98" t="s">
        <v>89</v>
      </c>
      <c r="G67" s="98" t="s">
        <v>89</v>
      </c>
      <c r="H67" s="98" t="s">
        <v>345</v>
      </c>
      <c r="I67" s="108" t="s">
        <v>346</v>
      </c>
      <c r="J67" s="108" t="s">
        <v>89</v>
      </c>
      <c r="K67" s="98" t="s">
        <v>345</v>
      </c>
      <c r="L67" s="108">
        <v>2</v>
      </c>
      <c r="M67" s="99"/>
    </row>
    <row r="68" spans="1:32" ht="14.25" customHeight="1" x14ac:dyDescent="0.25">
      <c r="A68" s="100" t="s">
        <v>393</v>
      </c>
      <c r="B68" s="101" t="s">
        <v>93</v>
      </c>
      <c r="C68" s="42">
        <v>152</v>
      </c>
      <c r="D68" s="42">
        <v>153</v>
      </c>
      <c r="E68" s="107">
        <v>44385</v>
      </c>
      <c r="F68" s="98" t="s">
        <v>89</v>
      </c>
      <c r="G68" s="98" t="s">
        <v>89</v>
      </c>
      <c r="H68" s="98" t="s">
        <v>345</v>
      </c>
      <c r="I68" s="108" t="s">
        <v>346</v>
      </c>
      <c r="J68" s="108" t="s">
        <v>89</v>
      </c>
      <c r="K68" s="108" t="s">
        <v>345</v>
      </c>
      <c r="L68" s="108">
        <v>0</v>
      </c>
      <c r="M68" s="99"/>
    </row>
    <row r="69" spans="1:32" ht="14.25" customHeight="1" x14ac:dyDescent="0.25">
      <c r="A69" s="95" t="s">
        <v>394</v>
      </c>
      <c r="B69" s="101" t="s">
        <v>93</v>
      </c>
      <c r="C69" s="42">
        <v>19</v>
      </c>
      <c r="D69" s="42">
        <v>20</v>
      </c>
      <c r="E69" s="107">
        <v>44387</v>
      </c>
      <c r="F69" s="98" t="s">
        <v>89</v>
      </c>
      <c r="G69" s="98" t="s">
        <v>89</v>
      </c>
      <c r="H69" s="98" t="s">
        <v>345</v>
      </c>
      <c r="I69" s="108" t="s">
        <v>346</v>
      </c>
      <c r="J69" s="108" t="s">
        <v>89</v>
      </c>
      <c r="K69" s="108" t="s">
        <v>345</v>
      </c>
      <c r="L69" s="108">
        <v>0</v>
      </c>
      <c r="M69" s="99"/>
    </row>
    <row r="70" spans="1:32" ht="14.25" customHeight="1" x14ac:dyDescent="0.25">
      <c r="A70" s="100" t="s">
        <v>498</v>
      </c>
      <c r="B70" s="101" t="s">
        <v>93</v>
      </c>
      <c r="C70" s="42">
        <v>42</v>
      </c>
      <c r="D70" s="42">
        <v>43</v>
      </c>
      <c r="E70" s="107">
        <v>44388</v>
      </c>
      <c r="F70" s="98" t="s">
        <v>89</v>
      </c>
      <c r="G70" s="98" t="s">
        <v>89</v>
      </c>
      <c r="H70" s="98" t="s">
        <v>345</v>
      </c>
      <c r="I70" s="108" t="s">
        <v>346</v>
      </c>
      <c r="J70" s="108" t="s">
        <v>89</v>
      </c>
      <c r="K70" s="108" t="s">
        <v>345</v>
      </c>
      <c r="L70" s="108">
        <v>1</v>
      </c>
      <c r="M70" s="99"/>
    </row>
    <row r="71" spans="1:32" ht="14.25" customHeight="1" x14ac:dyDescent="0.25">
      <c r="A71" s="95" t="s">
        <v>395</v>
      </c>
      <c r="B71" s="101" t="s">
        <v>93</v>
      </c>
      <c r="C71" s="42">
        <v>58</v>
      </c>
      <c r="D71" s="42">
        <v>59</v>
      </c>
      <c r="E71" s="107">
        <v>44390</v>
      </c>
      <c r="F71" s="98" t="s">
        <v>89</v>
      </c>
      <c r="G71" s="98" t="s">
        <v>89</v>
      </c>
      <c r="H71" s="98" t="s">
        <v>345</v>
      </c>
      <c r="I71" s="108" t="s">
        <v>346</v>
      </c>
      <c r="J71" s="108" t="s">
        <v>89</v>
      </c>
      <c r="K71" s="108" t="s">
        <v>345</v>
      </c>
      <c r="L71" s="108">
        <v>0</v>
      </c>
      <c r="M71" s="110"/>
    </row>
    <row r="72" spans="1:32" ht="14.25" customHeight="1" x14ac:dyDescent="0.25">
      <c r="A72" s="100" t="s">
        <v>396</v>
      </c>
      <c r="B72" s="101" t="s">
        <v>93</v>
      </c>
      <c r="C72" s="42">
        <v>7</v>
      </c>
      <c r="D72" s="42">
        <v>8</v>
      </c>
      <c r="E72" s="107">
        <v>44391</v>
      </c>
      <c r="F72" s="98" t="s">
        <v>89</v>
      </c>
      <c r="G72" s="98" t="s">
        <v>89</v>
      </c>
      <c r="H72" s="98" t="s">
        <v>345</v>
      </c>
      <c r="I72" s="108" t="s">
        <v>346</v>
      </c>
      <c r="J72" s="108" t="s">
        <v>89</v>
      </c>
      <c r="K72" s="108" t="s">
        <v>345</v>
      </c>
      <c r="L72" s="108">
        <v>5</v>
      </c>
      <c r="M72" s="110"/>
    </row>
    <row r="73" spans="1:32" ht="14.25" customHeight="1" x14ac:dyDescent="0.25">
      <c r="A73" s="95" t="s">
        <v>397</v>
      </c>
      <c r="B73" s="101" t="s">
        <v>93</v>
      </c>
      <c r="C73" s="42">
        <v>8</v>
      </c>
      <c r="D73" s="42">
        <v>9</v>
      </c>
      <c r="E73" s="97">
        <v>44391</v>
      </c>
      <c r="F73" s="98" t="s">
        <v>89</v>
      </c>
      <c r="G73" s="98" t="s">
        <v>89</v>
      </c>
      <c r="H73" s="98" t="s">
        <v>345</v>
      </c>
      <c r="I73" s="108" t="s">
        <v>346</v>
      </c>
      <c r="J73" s="108" t="s">
        <v>89</v>
      </c>
      <c r="K73" s="108" t="s">
        <v>345</v>
      </c>
      <c r="L73" s="108">
        <v>0</v>
      </c>
      <c r="M73" s="110"/>
    </row>
    <row r="74" spans="1:32" ht="14.25" customHeight="1" x14ac:dyDescent="0.25">
      <c r="A74" s="100" t="s">
        <v>398</v>
      </c>
      <c r="B74" s="101" t="s">
        <v>93</v>
      </c>
      <c r="C74" s="42">
        <v>7</v>
      </c>
      <c r="D74" s="42">
        <v>8</v>
      </c>
      <c r="E74" s="107">
        <v>44391</v>
      </c>
      <c r="F74" s="98" t="s">
        <v>89</v>
      </c>
      <c r="G74" s="98" t="s">
        <v>89</v>
      </c>
      <c r="H74" s="98" t="s">
        <v>345</v>
      </c>
      <c r="I74" s="108" t="s">
        <v>346</v>
      </c>
      <c r="J74" s="108" t="s">
        <v>89</v>
      </c>
      <c r="K74" s="108" t="s">
        <v>345</v>
      </c>
      <c r="L74" s="108">
        <v>1</v>
      </c>
      <c r="M74" s="99"/>
    </row>
    <row r="75" spans="1:32" ht="14.25" customHeight="1" x14ac:dyDescent="0.25">
      <c r="A75" s="95" t="s">
        <v>399</v>
      </c>
      <c r="B75" s="101" t="s">
        <v>88</v>
      </c>
      <c r="C75" s="42">
        <v>152</v>
      </c>
      <c r="D75" s="42">
        <v>153</v>
      </c>
      <c r="E75" s="107">
        <v>44391</v>
      </c>
      <c r="F75" s="98" t="s">
        <v>89</v>
      </c>
      <c r="G75" s="98" t="s">
        <v>89</v>
      </c>
      <c r="H75" s="98" t="s">
        <v>345</v>
      </c>
      <c r="I75" s="108" t="s">
        <v>346</v>
      </c>
      <c r="J75" s="108" t="s">
        <v>89</v>
      </c>
      <c r="K75" s="108" t="s">
        <v>345</v>
      </c>
      <c r="L75" s="108">
        <v>0</v>
      </c>
      <c r="M75" s="99"/>
    </row>
    <row r="76" spans="1:32" ht="14.25" customHeight="1" x14ac:dyDescent="0.25">
      <c r="A76" s="100" t="s">
        <v>400</v>
      </c>
      <c r="B76" s="101" t="s">
        <v>93</v>
      </c>
      <c r="C76" s="42">
        <v>14</v>
      </c>
      <c r="D76" s="42">
        <v>15</v>
      </c>
      <c r="E76" s="107">
        <v>44392</v>
      </c>
      <c r="F76" s="98" t="s">
        <v>89</v>
      </c>
      <c r="G76" s="98" t="s">
        <v>89</v>
      </c>
      <c r="H76" s="98" t="s">
        <v>345</v>
      </c>
      <c r="I76" s="108" t="s">
        <v>346</v>
      </c>
      <c r="J76" s="108" t="s">
        <v>89</v>
      </c>
      <c r="K76" s="108" t="s">
        <v>345</v>
      </c>
      <c r="L76" s="108">
        <v>0</v>
      </c>
      <c r="M76" s="99"/>
    </row>
    <row r="77" spans="1:32" ht="14.25" customHeight="1" x14ac:dyDescent="0.25">
      <c r="A77" s="95" t="s">
        <v>401</v>
      </c>
      <c r="B77" s="101" t="s">
        <v>93</v>
      </c>
      <c r="C77" s="42">
        <v>7</v>
      </c>
      <c r="D77" s="42">
        <v>8</v>
      </c>
      <c r="E77" s="107">
        <v>44392</v>
      </c>
      <c r="F77" s="98" t="s">
        <v>89</v>
      </c>
      <c r="G77" s="98" t="s">
        <v>89</v>
      </c>
      <c r="H77" s="98" t="s">
        <v>345</v>
      </c>
      <c r="I77" s="108" t="s">
        <v>346</v>
      </c>
      <c r="J77" s="108" t="s">
        <v>89</v>
      </c>
      <c r="K77" s="108" t="s">
        <v>345</v>
      </c>
      <c r="L77" s="108">
        <v>0</v>
      </c>
      <c r="M77" s="99"/>
    </row>
    <row r="78" spans="1:32" ht="14.25" customHeight="1" x14ac:dyDescent="0.25">
      <c r="A78" s="100" t="s">
        <v>402</v>
      </c>
      <c r="B78" s="101" t="s">
        <v>93</v>
      </c>
      <c r="C78" s="42">
        <v>8</v>
      </c>
      <c r="D78" s="42">
        <v>9</v>
      </c>
      <c r="E78" s="107">
        <v>44392</v>
      </c>
      <c r="F78" s="98" t="s">
        <v>89</v>
      </c>
      <c r="G78" s="98" t="s">
        <v>89</v>
      </c>
      <c r="H78" s="98" t="s">
        <v>345</v>
      </c>
      <c r="I78" s="108" t="s">
        <v>346</v>
      </c>
      <c r="J78" s="108" t="s">
        <v>89</v>
      </c>
      <c r="K78" s="108" t="s">
        <v>345</v>
      </c>
      <c r="L78" s="108">
        <v>1</v>
      </c>
      <c r="M78" s="99"/>
    </row>
    <row r="79" spans="1:32" ht="15" customHeight="1" x14ac:dyDescent="0.25">
      <c r="A79" s="95" t="s">
        <v>499</v>
      </c>
      <c r="B79" s="101" t="s">
        <v>93</v>
      </c>
      <c r="C79" s="42">
        <v>28</v>
      </c>
      <c r="D79" s="42">
        <v>29</v>
      </c>
      <c r="E79" s="107">
        <v>44392</v>
      </c>
      <c r="F79" s="98" t="s">
        <v>89</v>
      </c>
      <c r="G79" s="98" t="s">
        <v>89</v>
      </c>
      <c r="H79" s="98" t="s">
        <v>345</v>
      </c>
      <c r="I79" s="108" t="s">
        <v>346</v>
      </c>
      <c r="J79" s="108" t="s">
        <v>89</v>
      </c>
      <c r="K79" s="108" t="s">
        <v>345</v>
      </c>
      <c r="L79" s="108">
        <v>4</v>
      </c>
      <c r="M79" s="66"/>
      <c r="N79" s="66"/>
      <c r="O79" s="111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112"/>
      <c r="AD79" s="112"/>
      <c r="AE79" s="112"/>
      <c r="AF79" s="112"/>
    </row>
    <row r="80" spans="1:32" ht="15" customHeight="1" x14ac:dyDescent="0.25">
      <c r="A80" s="100" t="s">
        <v>500</v>
      </c>
      <c r="B80" s="101" t="s">
        <v>93</v>
      </c>
      <c r="C80" s="42">
        <v>18</v>
      </c>
      <c r="D80" s="42">
        <v>19</v>
      </c>
      <c r="E80" s="107">
        <v>44392</v>
      </c>
      <c r="F80" s="98" t="s">
        <v>89</v>
      </c>
      <c r="G80" s="98" t="s">
        <v>89</v>
      </c>
      <c r="H80" s="98" t="s">
        <v>345</v>
      </c>
      <c r="I80" s="108" t="s">
        <v>346</v>
      </c>
      <c r="J80" s="108" t="s">
        <v>89</v>
      </c>
      <c r="K80" s="108" t="s">
        <v>345</v>
      </c>
      <c r="L80" s="108">
        <v>4</v>
      </c>
      <c r="M80" s="66"/>
      <c r="N80" s="66"/>
      <c r="O80" s="111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112"/>
      <c r="AD80" s="112"/>
      <c r="AE80" s="112"/>
      <c r="AF80" s="112"/>
    </row>
    <row r="81" spans="1:32" ht="15" customHeight="1" x14ac:dyDescent="0.25">
      <c r="A81" s="95" t="s">
        <v>501</v>
      </c>
      <c r="B81" s="101" t="s">
        <v>93</v>
      </c>
      <c r="C81" s="42">
        <v>84</v>
      </c>
      <c r="D81" s="42">
        <v>85</v>
      </c>
      <c r="E81" s="107">
        <v>44393</v>
      </c>
      <c r="F81" s="98" t="s">
        <v>89</v>
      </c>
      <c r="G81" s="98" t="s">
        <v>89</v>
      </c>
      <c r="H81" s="98" t="s">
        <v>345</v>
      </c>
      <c r="I81" s="108" t="s">
        <v>346</v>
      </c>
      <c r="J81" s="108" t="s">
        <v>89</v>
      </c>
      <c r="K81" s="108" t="s">
        <v>345</v>
      </c>
      <c r="L81" s="108">
        <v>2</v>
      </c>
      <c r="M81" s="113"/>
      <c r="N81" s="113"/>
      <c r="O81" s="114"/>
      <c r="P81" s="113"/>
      <c r="Q81" s="113"/>
      <c r="R81" s="113"/>
      <c r="S81" s="113"/>
      <c r="T81" s="115"/>
      <c r="U81" s="115"/>
      <c r="V81" s="115"/>
      <c r="W81" s="115"/>
      <c r="X81" s="115"/>
      <c r="Y81" s="115"/>
      <c r="Z81" s="115"/>
      <c r="AA81" s="115"/>
      <c r="AB81" s="113"/>
      <c r="AC81" s="113"/>
      <c r="AD81" s="113"/>
      <c r="AE81" s="113"/>
      <c r="AF81" s="113"/>
    </row>
    <row r="82" spans="1:32" ht="15" customHeight="1" x14ac:dyDescent="0.25">
      <c r="A82" s="100" t="s">
        <v>502</v>
      </c>
      <c r="B82" s="101" t="s">
        <v>93</v>
      </c>
      <c r="C82" s="42">
        <v>18</v>
      </c>
      <c r="D82" s="42">
        <v>19</v>
      </c>
      <c r="E82" s="107">
        <v>44393</v>
      </c>
      <c r="F82" s="98" t="s">
        <v>89</v>
      </c>
      <c r="G82" s="98" t="s">
        <v>89</v>
      </c>
      <c r="H82" s="98" t="s">
        <v>345</v>
      </c>
      <c r="I82" s="108" t="s">
        <v>346</v>
      </c>
      <c r="J82" s="108" t="s">
        <v>89</v>
      </c>
      <c r="K82" s="108" t="s">
        <v>345</v>
      </c>
      <c r="L82" s="108">
        <v>0</v>
      </c>
      <c r="M82" s="66"/>
      <c r="N82" s="66"/>
      <c r="O82" s="11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</row>
    <row r="83" spans="1:32" ht="15" customHeight="1" x14ac:dyDescent="0.25">
      <c r="A83" s="95" t="s">
        <v>503</v>
      </c>
      <c r="B83" s="101" t="s">
        <v>93</v>
      </c>
      <c r="C83" s="42">
        <v>67</v>
      </c>
      <c r="D83" s="42">
        <v>68</v>
      </c>
      <c r="E83" s="107">
        <v>44394</v>
      </c>
      <c r="F83" s="98" t="s">
        <v>89</v>
      </c>
      <c r="G83" s="98" t="s">
        <v>89</v>
      </c>
      <c r="H83" s="98" t="s">
        <v>345</v>
      </c>
      <c r="I83" s="108" t="s">
        <v>346</v>
      </c>
      <c r="J83" s="108" t="s">
        <v>89</v>
      </c>
      <c r="K83" s="108" t="s">
        <v>345</v>
      </c>
      <c r="L83" s="108">
        <v>0</v>
      </c>
      <c r="M83" s="112"/>
      <c r="N83" s="66"/>
      <c r="O83" s="111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66"/>
      <c r="AC83" s="112"/>
      <c r="AD83" s="112"/>
      <c r="AE83" s="112"/>
      <c r="AF83" s="112"/>
    </row>
    <row r="84" spans="1:32" ht="15" customHeight="1" x14ac:dyDescent="0.25">
      <c r="A84" s="100" t="s">
        <v>504</v>
      </c>
      <c r="B84" s="101" t="s">
        <v>88</v>
      </c>
      <c r="C84" s="42">
        <v>148</v>
      </c>
      <c r="D84" s="42">
        <v>149</v>
      </c>
      <c r="E84" s="107">
        <v>44394</v>
      </c>
      <c r="F84" s="98" t="s">
        <v>89</v>
      </c>
      <c r="G84" s="98" t="s">
        <v>89</v>
      </c>
      <c r="H84" s="98" t="s">
        <v>345</v>
      </c>
      <c r="I84" s="108" t="s">
        <v>346</v>
      </c>
      <c r="J84" s="108" t="s">
        <v>89</v>
      </c>
      <c r="K84" s="108" t="s">
        <v>345</v>
      </c>
      <c r="L84" s="108">
        <v>2</v>
      </c>
      <c r="M84" s="113"/>
      <c r="N84" s="113"/>
      <c r="O84" s="114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</row>
    <row r="85" spans="1:32" ht="15" customHeight="1" x14ac:dyDescent="0.25">
      <c r="A85" s="95" t="s">
        <v>505</v>
      </c>
      <c r="B85" s="101" t="s">
        <v>93</v>
      </c>
      <c r="C85" s="42">
        <v>28</v>
      </c>
      <c r="D85" s="42">
        <v>29</v>
      </c>
      <c r="E85" s="107">
        <v>44395</v>
      </c>
      <c r="F85" s="98" t="s">
        <v>89</v>
      </c>
      <c r="G85" s="98" t="s">
        <v>89</v>
      </c>
      <c r="H85" s="98" t="s">
        <v>345</v>
      </c>
      <c r="I85" s="108" t="s">
        <v>346</v>
      </c>
      <c r="J85" s="108" t="s">
        <v>89</v>
      </c>
      <c r="K85" s="108" t="s">
        <v>345</v>
      </c>
      <c r="L85" s="108">
        <v>2</v>
      </c>
      <c r="M85" s="66"/>
      <c r="N85" s="66"/>
      <c r="O85" s="111"/>
      <c r="P85" s="66"/>
      <c r="Q85" s="112"/>
      <c r="R85" s="112"/>
      <c r="S85" s="112"/>
      <c r="T85" s="66"/>
      <c r="U85" s="66"/>
      <c r="V85" s="117"/>
      <c r="W85" s="117"/>
      <c r="X85" s="117"/>
      <c r="Y85" s="117"/>
      <c r="Z85" s="117"/>
      <c r="AA85" s="117"/>
      <c r="AB85" s="112"/>
      <c r="AC85" s="112"/>
      <c r="AD85" s="112"/>
      <c r="AE85" s="112"/>
      <c r="AF85" s="112"/>
    </row>
    <row r="86" spans="1:32" ht="14.25" customHeight="1" x14ac:dyDescent="0.25">
      <c r="A86" s="100" t="s">
        <v>506</v>
      </c>
      <c r="B86" s="101" t="s">
        <v>88</v>
      </c>
      <c r="C86" s="42">
        <v>112</v>
      </c>
      <c r="D86" s="42">
        <v>113</v>
      </c>
      <c r="E86" s="107">
        <v>44395</v>
      </c>
      <c r="F86" s="98" t="s">
        <v>89</v>
      </c>
      <c r="G86" s="98" t="s">
        <v>89</v>
      </c>
      <c r="H86" s="98" t="s">
        <v>345</v>
      </c>
      <c r="I86" s="108" t="s">
        <v>346</v>
      </c>
      <c r="J86" s="108" t="s">
        <v>89</v>
      </c>
      <c r="K86" s="108" t="s">
        <v>345</v>
      </c>
      <c r="L86" s="108">
        <v>0</v>
      </c>
      <c r="M86" s="99"/>
    </row>
    <row r="87" spans="1:32" ht="14.25" customHeight="1" x14ac:dyDescent="0.25">
      <c r="A87" s="95" t="s">
        <v>507</v>
      </c>
      <c r="B87" s="101" t="s">
        <v>93</v>
      </c>
      <c r="C87" s="42">
        <v>7</v>
      </c>
      <c r="D87" s="42">
        <v>8</v>
      </c>
      <c r="E87" s="107">
        <v>44396</v>
      </c>
      <c r="F87" s="98" t="s">
        <v>89</v>
      </c>
      <c r="G87" s="98" t="s">
        <v>89</v>
      </c>
      <c r="H87" s="98" t="s">
        <v>345</v>
      </c>
      <c r="I87" s="108" t="s">
        <v>346</v>
      </c>
      <c r="J87" s="108" t="s">
        <v>89</v>
      </c>
      <c r="K87" s="108" t="s">
        <v>345</v>
      </c>
      <c r="L87" s="108">
        <v>0</v>
      </c>
      <c r="M87" s="99"/>
    </row>
    <row r="88" spans="1:32" ht="14.25" customHeight="1" x14ac:dyDescent="0.25">
      <c r="A88" s="100" t="s">
        <v>508</v>
      </c>
      <c r="B88" s="101" t="s">
        <v>93</v>
      </c>
      <c r="C88" s="42">
        <v>84</v>
      </c>
      <c r="D88" s="42">
        <v>85</v>
      </c>
      <c r="E88" s="107">
        <v>44396</v>
      </c>
      <c r="F88" s="98" t="s">
        <v>89</v>
      </c>
      <c r="G88" s="98" t="s">
        <v>89</v>
      </c>
      <c r="H88" s="98" t="s">
        <v>345</v>
      </c>
      <c r="I88" s="108" t="s">
        <v>346</v>
      </c>
      <c r="J88" s="108" t="s">
        <v>89</v>
      </c>
      <c r="K88" s="108" t="s">
        <v>345</v>
      </c>
      <c r="L88" s="108">
        <v>3</v>
      </c>
      <c r="M88" s="99"/>
    </row>
    <row r="89" spans="1:32" ht="14.25" customHeight="1" x14ac:dyDescent="0.25">
      <c r="A89" s="95" t="s">
        <v>509</v>
      </c>
      <c r="B89" s="101" t="s">
        <v>88</v>
      </c>
      <c r="C89" s="42">
        <v>126</v>
      </c>
      <c r="D89" s="42">
        <v>127</v>
      </c>
      <c r="E89" s="107">
        <v>44397</v>
      </c>
      <c r="F89" s="98" t="s">
        <v>89</v>
      </c>
      <c r="G89" s="98" t="s">
        <v>89</v>
      </c>
      <c r="H89" s="98" t="s">
        <v>345</v>
      </c>
      <c r="I89" s="108" t="s">
        <v>346</v>
      </c>
      <c r="J89" s="108" t="s">
        <v>89</v>
      </c>
      <c r="K89" s="108" t="s">
        <v>345</v>
      </c>
      <c r="L89" s="108">
        <v>1</v>
      </c>
      <c r="M89" s="99"/>
    </row>
    <row r="90" spans="1:32" ht="14.25" customHeight="1" x14ac:dyDescent="0.25">
      <c r="A90" s="100" t="s">
        <v>510</v>
      </c>
      <c r="B90" s="101" t="s">
        <v>88</v>
      </c>
      <c r="C90" s="42">
        <v>153</v>
      </c>
      <c r="D90" s="42">
        <v>154</v>
      </c>
      <c r="E90" s="107">
        <v>44397</v>
      </c>
      <c r="F90" s="98" t="s">
        <v>89</v>
      </c>
      <c r="G90" s="98" t="s">
        <v>89</v>
      </c>
      <c r="H90" s="98" t="s">
        <v>345</v>
      </c>
      <c r="I90" s="108" t="s">
        <v>346</v>
      </c>
      <c r="J90" s="108" t="s">
        <v>89</v>
      </c>
      <c r="K90" s="108" t="s">
        <v>345</v>
      </c>
      <c r="L90" s="108">
        <v>0</v>
      </c>
      <c r="M90" s="99"/>
    </row>
    <row r="91" spans="1:32" ht="14.25" customHeight="1" x14ac:dyDescent="0.25">
      <c r="A91" s="95" t="s">
        <v>511</v>
      </c>
      <c r="B91" s="101" t="s">
        <v>93</v>
      </c>
      <c r="C91" s="42">
        <v>46</v>
      </c>
      <c r="D91" s="42">
        <v>47</v>
      </c>
      <c r="E91" s="107">
        <v>44398</v>
      </c>
      <c r="F91" s="98" t="s">
        <v>89</v>
      </c>
      <c r="G91" s="98" t="s">
        <v>89</v>
      </c>
      <c r="H91" s="98" t="s">
        <v>345</v>
      </c>
      <c r="I91" s="108" t="s">
        <v>346</v>
      </c>
      <c r="J91" s="108" t="s">
        <v>89</v>
      </c>
      <c r="K91" s="108" t="s">
        <v>345</v>
      </c>
      <c r="L91" s="108">
        <v>0</v>
      </c>
      <c r="M91" s="99"/>
    </row>
    <row r="92" spans="1:32" ht="14.25" customHeight="1" x14ac:dyDescent="0.25">
      <c r="A92" s="100" t="s">
        <v>512</v>
      </c>
      <c r="B92" s="101" t="s">
        <v>93</v>
      </c>
      <c r="C92" s="42">
        <v>75</v>
      </c>
      <c r="D92" s="42">
        <v>76</v>
      </c>
      <c r="E92" s="107">
        <v>44399</v>
      </c>
      <c r="F92" s="98" t="s">
        <v>89</v>
      </c>
      <c r="G92" s="98" t="s">
        <v>89</v>
      </c>
      <c r="H92" s="98" t="s">
        <v>345</v>
      </c>
      <c r="I92" s="108" t="s">
        <v>346</v>
      </c>
      <c r="J92" s="108" t="s">
        <v>89</v>
      </c>
      <c r="K92" s="108" t="s">
        <v>345</v>
      </c>
      <c r="L92" s="108">
        <v>0</v>
      </c>
      <c r="M92" s="99"/>
    </row>
    <row r="93" spans="1:32" ht="14.25" customHeight="1" x14ac:dyDescent="0.25">
      <c r="A93" s="95" t="s">
        <v>513</v>
      </c>
      <c r="B93" s="101" t="s">
        <v>88</v>
      </c>
      <c r="C93" s="42">
        <v>105</v>
      </c>
      <c r="D93" s="42">
        <v>106</v>
      </c>
      <c r="E93" s="107">
        <v>44399</v>
      </c>
      <c r="F93" s="98" t="s">
        <v>89</v>
      </c>
      <c r="G93" s="98" t="s">
        <v>89</v>
      </c>
      <c r="H93" s="98" t="s">
        <v>345</v>
      </c>
      <c r="I93" s="108" t="s">
        <v>346</v>
      </c>
      <c r="J93" s="108" t="s">
        <v>89</v>
      </c>
      <c r="K93" s="108" t="s">
        <v>345</v>
      </c>
      <c r="L93" s="108">
        <v>0</v>
      </c>
      <c r="M93" s="99"/>
    </row>
    <row r="94" spans="1:32" ht="14.25" customHeight="1" x14ac:dyDescent="0.25">
      <c r="A94" s="100" t="s">
        <v>514</v>
      </c>
      <c r="B94" s="101" t="s">
        <v>88</v>
      </c>
      <c r="C94" s="42">
        <v>105</v>
      </c>
      <c r="D94" s="42">
        <v>106</v>
      </c>
      <c r="E94" s="107">
        <v>44399</v>
      </c>
      <c r="F94" s="98" t="s">
        <v>89</v>
      </c>
      <c r="G94" s="98" t="s">
        <v>89</v>
      </c>
      <c r="H94" s="98" t="s">
        <v>345</v>
      </c>
      <c r="I94" s="108" t="s">
        <v>346</v>
      </c>
      <c r="J94" s="108" t="s">
        <v>89</v>
      </c>
      <c r="K94" s="108" t="s">
        <v>345</v>
      </c>
      <c r="L94" s="108">
        <v>0</v>
      </c>
      <c r="M94" s="99"/>
    </row>
    <row r="95" spans="1:32" ht="14.25" customHeight="1" x14ac:dyDescent="0.25">
      <c r="A95" s="95" t="s">
        <v>515</v>
      </c>
      <c r="B95" s="101" t="s">
        <v>93</v>
      </c>
      <c r="C95" s="42">
        <v>75</v>
      </c>
      <c r="D95" s="42">
        <v>76</v>
      </c>
      <c r="E95" s="107">
        <v>44399</v>
      </c>
      <c r="F95" s="98" t="s">
        <v>89</v>
      </c>
      <c r="G95" s="98" t="s">
        <v>89</v>
      </c>
      <c r="H95" s="98" t="s">
        <v>345</v>
      </c>
      <c r="I95" s="108" t="s">
        <v>346</v>
      </c>
      <c r="J95" s="108" t="s">
        <v>89</v>
      </c>
      <c r="K95" s="108" t="s">
        <v>345</v>
      </c>
      <c r="L95" s="108">
        <v>0</v>
      </c>
      <c r="M95" s="99"/>
    </row>
    <row r="96" spans="1:32" ht="15.75" customHeight="1" x14ac:dyDescent="0.25">
      <c r="A96" s="100" t="s">
        <v>516</v>
      </c>
      <c r="B96" s="101" t="s">
        <v>93</v>
      </c>
      <c r="C96" s="42">
        <v>46</v>
      </c>
      <c r="D96" s="42">
        <v>47</v>
      </c>
      <c r="E96" s="107">
        <v>44399</v>
      </c>
      <c r="F96" s="98" t="s">
        <v>89</v>
      </c>
      <c r="G96" s="98" t="s">
        <v>89</v>
      </c>
      <c r="H96" s="98" t="s">
        <v>345</v>
      </c>
      <c r="I96" s="108" t="s">
        <v>346</v>
      </c>
      <c r="J96" s="108" t="s">
        <v>89</v>
      </c>
      <c r="K96" s="108" t="s">
        <v>345</v>
      </c>
      <c r="L96" s="108">
        <v>0</v>
      </c>
      <c r="M96" s="99"/>
    </row>
    <row r="97" spans="1:13" ht="14.25" customHeight="1" x14ac:dyDescent="0.25">
      <c r="A97" s="95" t="s">
        <v>517</v>
      </c>
      <c r="B97" s="101" t="s">
        <v>88</v>
      </c>
      <c r="C97" s="42">
        <v>125</v>
      </c>
      <c r="D97" s="42">
        <v>126</v>
      </c>
      <c r="E97" s="107">
        <v>44400</v>
      </c>
      <c r="F97" s="98" t="s">
        <v>89</v>
      </c>
      <c r="G97" s="98" t="s">
        <v>89</v>
      </c>
      <c r="H97" s="98" t="s">
        <v>345</v>
      </c>
      <c r="I97" s="108" t="s">
        <v>346</v>
      </c>
      <c r="J97" s="108" t="s">
        <v>89</v>
      </c>
      <c r="K97" s="108" t="s">
        <v>345</v>
      </c>
      <c r="L97" s="108">
        <v>1</v>
      </c>
      <c r="M97" s="99"/>
    </row>
    <row r="98" spans="1:13" ht="14.25" customHeight="1" x14ac:dyDescent="0.25">
      <c r="A98" s="100" t="s">
        <v>518</v>
      </c>
      <c r="B98" s="101" t="s">
        <v>93</v>
      </c>
      <c r="C98" s="42">
        <v>67</v>
      </c>
      <c r="D98" s="42">
        <v>68</v>
      </c>
      <c r="E98" s="107">
        <v>44400</v>
      </c>
      <c r="F98" s="98" t="s">
        <v>89</v>
      </c>
      <c r="G98" s="98" t="s">
        <v>89</v>
      </c>
      <c r="H98" s="98" t="s">
        <v>345</v>
      </c>
      <c r="I98" s="108" t="s">
        <v>346</v>
      </c>
      <c r="J98" s="108" t="s">
        <v>89</v>
      </c>
      <c r="K98" s="108" t="s">
        <v>345</v>
      </c>
      <c r="L98" s="108">
        <v>0</v>
      </c>
      <c r="M98" s="99"/>
    </row>
    <row r="99" spans="1:13" ht="14.25" customHeight="1" x14ac:dyDescent="0.25">
      <c r="A99" s="95" t="s">
        <v>519</v>
      </c>
      <c r="B99" s="101" t="s">
        <v>93</v>
      </c>
      <c r="C99" s="42">
        <v>1</v>
      </c>
      <c r="D99" s="42">
        <v>2</v>
      </c>
      <c r="E99" s="107">
        <v>44400</v>
      </c>
      <c r="F99" s="98" t="s">
        <v>89</v>
      </c>
      <c r="G99" s="98" t="s">
        <v>89</v>
      </c>
      <c r="H99" s="98" t="s">
        <v>345</v>
      </c>
      <c r="I99" s="108" t="s">
        <v>346</v>
      </c>
      <c r="J99" s="108" t="s">
        <v>89</v>
      </c>
      <c r="K99" s="108" t="s">
        <v>345</v>
      </c>
      <c r="L99" s="108">
        <v>0</v>
      </c>
      <c r="M99" s="99"/>
    </row>
    <row r="100" spans="1:13" ht="14.25" customHeight="1" x14ac:dyDescent="0.25">
      <c r="A100" s="100" t="s">
        <v>520</v>
      </c>
      <c r="B100" s="101" t="s">
        <v>93</v>
      </c>
      <c r="C100" s="42">
        <v>17</v>
      </c>
      <c r="D100" s="42">
        <v>18</v>
      </c>
      <c r="E100" s="107">
        <v>44401</v>
      </c>
      <c r="F100" s="98" t="s">
        <v>89</v>
      </c>
      <c r="G100" s="98" t="s">
        <v>89</v>
      </c>
      <c r="H100" s="98" t="s">
        <v>345</v>
      </c>
      <c r="I100" s="108" t="s">
        <v>346</v>
      </c>
      <c r="J100" s="108" t="s">
        <v>89</v>
      </c>
      <c r="K100" s="108" t="s">
        <v>345</v>
      </c>
      <c r="L100" s="108">
        <v>0</v>
      </c>
      <c r="M100" s="99"/>
    </row>
    <row r="101" spans="1:13" ht="14.25" customHeight="1" x14ac:dyDescent="0.25">
      <c r="A101" s="95" t="s">
        <v>521</v>
      </c>
      <c r="B101" s="101" t="s">
        <v>93</v>
      </c>
      <c r="C101" s="42">
        <v>22</v>
      </c>
      <c r="D101" s="42">
        <v>23</v>
      </c>
      <c r="E101" s="107">
        <v>44401</v>
      </c>
      <c r="F101" s="98" t="s">
        <v>89</v>
      </c>
      <c r="G101" s="98" t="s">
        <v>89</v>
      </c>
      <c r="H101" s="98" t="s">
        <v>345</v>
      </c>
      <c r="I101" s="108" t="s">
        <v>346</v>
      </c>
      <c r="J101" s="108" t="s">
        <v>89</v>
      </c>
      <c r="K101" s="108" t="s">
        <v>345</v>
      </c>
      <c r="L101" s="108">
        <v>1</v>
      </c>
      <c r="M101" s="99"/>
    </row>
    <row r="102" spans="1:13" ht="14.25" customHeight="1" x14ac:dyDescent="0.25">
      <c r="A102" s="100" t="s">
        <v>522</v>
      </c>
      <c r="B102" s="101" t="s">
        <v>88</v>
      </c>
      <c r="C102" s="42">
        <v>110</v>
      </c>
      <c r="D102" s="42">
        <v>111</v>
      </c>
      <c r="E102" s="107">
        <v>44402</v>
      </c>
      <c r="F102" s="98" t="s">
        <v>89</v>
      </c>
      <c r="G102" s="98" t="s">
        <v>89</v>
      </c>
      <c r="H102" s="98" t="s">
        <v>345</v>
      </c>
      <c r="I102" s="108" t="s">
        <v>346</v>
      </c>
      <c r="J102" s="108" t="s">
        <v>89</v>
      </c>
      <c r="K102" s="108" t="s">
        <v>345</v>
      </c>
      <c r="L102" s="108">
        <v>0</v>
      </c>
      <c r="M102" s="99"/>
    </row>
    <row r="103" spans="1:13" ht="14.25" customHeight="1" x14ac:dyDescent="0.25">
      <c r="A103" s="95" t="s">
        <v>523</v>
      </c>
      <c r="B103" s="101" t="s">
        <v>93</v>
      </c>
      <c r="C103" s="42">
        <v>26</v>
      </c>
      <c r="D103" s="42">
        <v>27</v>
      </c>
      <c r="E103" s="107">
        <v>44402</v>
      </c>
      <c r="F103" s="98" t="s">
        <v>89</v>
      </c>
      <c r="G103" s="98" t="s">
        <v>89</v>
      </c>
      <c r="H103" s="98" t="s">
        <v>345</v>
      </c>
      <c r="I103" s="108" t="s">
        <v>346</v>
      </c>
      <c r="J103" s="108" t="s">
        <v>89</v>
      </c>
      <c r="K103" s="108" t="s">
        <v>345</v>
      </c>
      <c r="L103" s="108">
        <v>0</v>
      </c>
      <c r="M103" s="99"/>
    </row>
    <row r="104" spans="1:13" ht="14.25" customHeight="1" x14ac:dyDescent="0.25">
      <c r="A104" s="100" t="s">
        <v>524</v>
      </c>
      <c r="B104" s="101" t="s">
        <v>93</v>
      </c>
      <c r="C104" s="42">
        <v>98</v>
      </c>
      <c r="D104" s="42">
        <v>99</v>
      </c>
      <c r="E104" s="107">
        <v>44405</v>
      </c>
      <c r="F104" s="98" t="s">
        <v>89</v>
      </c>
      <c r="G104" s="98" t="s">
        <v>89</v>
      </c>
      <c r="H104" s="98" t="s">
        <v>345</v>
      </c>
      <c r="I104" s="108" t="s">
        <v>346</v>
      </c>
      <c r="J104" s="108" t="s">
        <v>89</v>
      </c>
      <c r="K104" s="108" t="s">
        <v>345</v>
      </c>
      <c r="L104" s="108">
        <v>1</v>
      </c>
      <c r="M104" s="99"/>
    </row>
    <row r="105" spans="1:13" ht="14.25" customHeight="1" x14ac:dyDescent="0.25">
      <c r="A105" s="95" t="s">
        <v>525</v>
      </c>
      <c r="B105" s="101" t="s">
        <v>93</v>
      </c>
      <c r="C105" s="42">
        <v>41</v>
      </c>
      <c r="D105" s="42">
        <v>42</v>
      </c>
      <c r="E105" s="107">
        <v>44408</v>
      </c>
      <c r="F105" s="98" t="s">
        <v>89</v>
      </c>
      <c r="G105" s="98" t="s">
        <v>89</v>
      </c>
      <c r="H105" s="98" t="s">
        <v>345</v>
      </c>
      <c r="I105" s="108" t="s">
        <v>346</v>
      </c>
      <c r="J105" s="108" t="s">
        <v>89</v>
      </c>
      <c r="K105" s="108" t="s">
        <v>345</v>
      </c>
      <c r="L105" s="104">
        <v>0</v>
      </c>
      <c r="M105" s="99"/>
    </row>
    <row r="106" spans="1:13" ht="14.25" customHeight="1" x14ac:dyDescent="0.25">
      <c r="A106" s="118"/>
      <c r="B106" s="118"/>
      <c r="C106" s="119"/>
      <c r="D106" s="118"/>
      <c r="E106" s="120"/>
      <c r="F106" s="44"/>
      <c r="G106" s="118"/>
      <c r="H106" s="110"/>
      <c r="I106" s="121"/>
      <c r="J106" s="110"/>
      <c r="K106" s="118"/>
      <c r="L106" s="118"/>
    </row>
    <row r="107" spans="1:13" ht="14.25" customHeight="1" x14ac:dyDescent="0.25">
      <c r="A107" s="118"/>
      <c r="B107" s="118"/>
      <c r="C107" s="119"/>
      <c r="D107" s="118"/>
      <c r="E107" s="120"/>
      <c r="F107" s="44"/>
      <c r="G107" s="118"/>
      <c r="H107" s="110"/>
      <c r="I107" s="121"/>
      <c r="J107" s="118"/>
      <c r="K107" s="118"/>
      <c r="L107" s="118"/>
    </row>
    <row r="108" spans="1:13" ht="14.25" customHeight="1" x14ac:dyDescent="0.25">
      <c r="A108" s="118"/>
      <c r="B108" s="118"/>
      <c r="C108" s="119"/>
      <c r="D108" s="118"/>
      <c r="E108" s="120"/>
      <c r="F108" s="118"/>
      <c r="G108" s="118"/>
      <c r="H108" s="118"/>
      <c r="I108" s="121"/>
      <c r="J108" s="118"/>
      <c r="K108" s="118"/>
      <c r="L108" s="118"/>
    </row>
    <row r="109" spans="1:13" ht="14.25" customHeight="1" x14ac:dyDescent="0.25">
      <c r="A109" s="118"/>
      <c r="B109" s="118"/>
      <c r="C109" s="119"/>
      <c r="D109" s="118"/>
      <c r="E109" s="120"/>
      <c r="F109" s="118"/>
      <c r="G109" s="118"/>
      <c r="H109" s="118"/>
      <c r="I109" s="121"/>
      <c r="J109" s="118"/>
      <c r="K109" s="118"/>
      <c r="L109" s="118"/>
    </row>
    <row r="110" spans="1:13" ht="14.25" customHeight="1" x14ac:dyDescent="0.25">
      <c r="A110" s="118"/>
      <c r="B110" s="118"/>
      <c r="C110" s="122"/>
      <c r="D110" s="110"/>
      <c r="E110" s="120"/>
      <c r="F110" s="110"/>
      <c r="G110" s="110"/>
      <c r="H110" s="110"/>
      <c r="I110" s="123"/>
      <c r="J110" s="110"/>
      <c r="K110" s="110"/>
      <c r="L110" s="118"/>
    </row>
    <row r="111" spans="1:13" ht="14.25" customHeight="1" x14ac:dyDescent="0.25">
      <c r="A111" s="118"/>
      <c r="B111" s="118"/>
      <c r="C111" s="122"/>
      <c r="D111" s="110"/>
      <c r="E111" s="120"/>
      <c r="F111" s="110"/>
      <c r="G111" s="110"/>
      <c r="H111" s="110"/>
      <c r="I111" s="123"/>
      <c r="J111" s="110"/>
      <c r="K111" s="110"/>
      <c r="L111" s="118"/>
    </row>
    <row r="112" spans="1:13" ht="14.25" customHeight="1" x14ac:dyDescent="0.25">
      <c r="A112" s="118"/>
      <c r="B112" s="118"/>
      <c r="C112" s="122"/>
      <c r="D112" s="110"/>
      <c r="E112" s="120"/>
      <c r="F112" s="110"/>
      <c r="G112" s="110"/>
      <c r="H112" s="110"/>
      <c r="I112" s="121"/>
      <c r="J112" s="110"/>
      <c r="K112" s="110"/>
      <c r="L112" s="118"/>
    </row>
    <row r="113" spans="1:12" ht="14.25" customHeight="1" x14ac:dyDescent="0.25">
      <c r="A113" s="118"/>
      <c r="B113" s="118"/>
      <c r="C113" s="122"/>
      <c r="D113" s="110"/>
      <c r="E113" s="120"/>
      <c r="F113" s="110"/>
      <c r="G113" s="110"/>
      <c r="H113" s="110"/>
      <c r="I113" s="123"/>
      <c r="J113" s="110"/>
      <c r="K113" s="110"/>
      <c r="L113" s="118"/>
    </row>
    <row r="114" spans="1:12" ht="14.25" customHeight="1" x14ac:dyDescent="0.25">
      <c r="A114" s="118"/>
      <c r="B114" s="118"/>
      <c r="C114" s="122"/>
      <c r="D114" s="110"/>
      <c r="E114" s="120"/>
      <c r="F114" s="110"/>
      <c r="G114" s="110"/>
      <c r="H114" s="110"/>
      <c r="I114" s="123"/>
      <c r="J114" s="110"/>
      <c r="K114" s="110"/>
      <c r="L114" s="118"/>
    </row>
    <row r="115" spans="1:12" ht="14.25" customHeight="1" x14ac:dyDescent="0.25">
      <c r="A115" s="118"/>
      <c r="B115" s="118"/>
      <c r="C115" s="122"/>
      <c r="D115" s="110"/>
      <c r="E115" s="120"/>
      <c r="F115" s="110"/>
      <c r="G115" s="110"/>
      <c r="H115" s="110"/>
      <c r="I115" s="121"/>
      <c r="J115" s="110"/>
      <c r="K115" s="110"/>
      <c r="L115" s="118"/>
    </row>
    <row r="116" spans="1:12" ht="14.25" customHeight="1" x14ac:dyDescent="0.25">
      <c r="A116" s="118"/>
      <c r="B116" s="118"/>
      <c r="C116" s="122"/>
      <c r="D116" s="110"/>
      <c r="E116" s="120"/>
      <c r="F116" s="110"/>
      <c r="G116" s="110"/>
      <c r="H116" s="118"/>
      <c r="I116" s="121"/>
      <c r="J116" s="118"/>
      <c r="K116" s="118"/>
      <c r="L116" s="118"/>
    </row>
    <row r="117" spans="1:12" ht="14.25" customHeight="1" x14ac:dyDescent="0.25">
      <c r="A117" s="118"/>
      <c r="B117" s="118"/>
      <c r="C117" s="119"/>
      <c r="D117" s="118"/>
      <c r="E117" s="120"/>
      <c r="F117" s="118"/>
      <c r="G117" s="118"/>
      <c r="H117" s="118"/>
      <c r="I117" s="121"/>
      <c r="J117" s="118"/>
      <c r="K117" s="118"/>
      <c r="L117" s="118"/>
    </row>
    <row r="118" spans="1:12" ht="14.25" customHeight="1" x14ac:dyDescent="0.25">
      <c r="A118" s="118"/>
      <c r="B118" s="118"/>
      <c r="C118" s="119"/>
      <c r="D118" s="118"/>
      <c r="E118" s="120"/>
      <c r="F118" s="118"/>
      <c r="G118" s="118"/>
      <c r="H118" s="118"/>
      <c r="I118" s="121"/>
      <c r="J118" s="118"/>
      <c r="K118" s="118"/>
      <c r="L118" s="118"/>
    </row>
    <row r="119" spans="1:12" ht="14.25" customHeight="1" x14ac:dyDescent="0.25">
      <c r="A119" s="118"/>
      <c r="B119" s="118"/>
      <c r="C119" s="122"/>
      <c r="D119" s="110"/>
      <c r="E119" s="120"/>
      <c r="F119" s="110"/>
      <c r="G119" s="110"/>
      <c r="H119" s="110"/>
      <c r="I119" s="123"/>
      <c r="J119" s="110"/>
      <c r="K119" s="110"/>
      <c r="L119" s="118"/>
    </row>
    <row r="120" spans="1:12" ht="14.25" customHeight="1" x14ac:dyDescent="0.25">
      <c r="A120" s="118"/>
      <c r="B120" s="118"/>
      <c r="C120" s="122"/>
      <c r="D120" s="110"/>
      <c r="E120" s="120"/>
      <c r="F120" s="110"/>
      <c r="G120" s="110"/>
      <c r="H120" s="110"/>
      <c r="I120" s="123"/>
      <c r="J120" s="110"/>
      <c r="K120" s="110"/>
      <c r="L120" s="118"/>
    </row>
    <row r="121" spans="1:12" ht="14.25" customHeight="1" x14ac:dyDescent="0.25">
      <c r="A121" s="118"/>
      <c r="B121" s="118"/>
      <c r="C121" s="122"/>
      <c r="D121" s="110"/>
      <c r="E121" s="120"/>
      <c r="F121" s="110"/>
      <c r="G121" s="110"/>
      <c r="H121" s="110"/>
      <c r="I121" s="123"/>
      <c r="J121" s="110"/>
      <c r="K121" s="110"/>
      <c r="L121" s="118"/>
    </row>
    <row r="122" spans="1:12" ht="14.25" customHeight="1" x14ac:dyDescent="0.25">
      <c r="A122" s="118"/>
      <c r="B122" s="118"/>
      <c r="C122" s="122"/>
      <c r="D122" s="110"/>
      <c r="E122" s="120"/>
      <c r="F122" s="110"/>
      <c r="G122" s="110"/>
      <c r="H122" s="110"/>
      <c r="I122" s="123"/>
      <c r="J122" s="110"/>
      <c r="K122" s="110"/>
      <c r="L122" s="118"/>
    </row>
    <row r="123" spans="1:12" ht="14.25" customHeight="1" x14ac:dyDescent="0.25">
      <c r="A123" s="118"/>
      <c r="B123" s="118"/>
      <c r="C123" s="122"/>
      <c r="D123" s="110"/>
      <c r="E123" s="120"/>
      <c r="F123" s="110"/>
      <c r="G123" s="110"/>
      <c r="H123" s="110"/>
      <c r="I123" s="123"/>
      <c r="J123" s="110"/>
      <c r="K123" s="110"/>
      <c r="L123" s="118"/>
    </row>
    <row r="124" spans="1:12" ht="14.25" customHeight="1" x14ac:dyDescent="0.25">
      <c r="A124" s="118"/>
      <c r="B124" s="118"/>
      <c r="C124" s="122"/>
      <c r="D124" s="110"/>
      <c r="E124" s="120"/>
      <c r="F124" s="110"/>
      <c r="G124" s="110"/>
      <c r="H124" s="110"/>
      <c r="I124" s="123"/>
      <c r="J124" s="110"/>
      <c r="K124" s="110"/>
      <c r="L124" s="118"/>
    </row>
    <row r="125" spans="1:12" ht="14.25" customHeight="1" x14ac:dyDescent="0.25">
      <c r="A125" s="118"/>
      <c r="B125" s="118"/>
      <c r="C125" s="122"/>
      <c r="D125" s="110"/>
      <c r="E125" s="120"/>
      <c r="F125" s="110"/>
      <c r="G125" s="110"/>
      <c r="H125" s="110"/>
      <c r="I125" s="123"/>
      <c r="J125" s="110"/>
      <c r="K125" s="110"/>
      <c r="L125" s="118"/>
    </row>
    <row r="126" spans="1:12" ht="14.25" customHeight="1" x14ac:dyDescent="0.25">
      <c r="A126" s="118"/>
      <c r="B126" s="118"/>
      <c r="C126" s="122"/>
      <c r="D126" s="110"/>
      <c r="E126" s="120"/>
      <c r="F126" s="110"/>
      <c r="G126" s="110"/>
      <c r="H126" s="110"/>
      <c r="I126" s="123"/>
      <c r="J126" s="110"/>
      <c r="K126" s="110"/>
      <c r="L126" s="118"/>
    </row>
    <row r="127" spans="1:12" ht="14.25" customHeight="1" x14ac:dyDescent="0.25">
      <c r="A127" s="118"/>
      <c r="B127" s="118"/>
      <c r="C127" s="122"/>
      <c r="D127" s="110"/>
      <c r="E127" s="120"/>
      <c r="F127" s="110"/>
      <c r="G127" s="110"/>
      <c r="H127" s="110"/>
      <c r="I127" s="123"/>
      <c r="J127" s="110"/>
      <c r="K127" s="110"/>
      <c r="L127" s="118"/>
    </row>
    <row r="128" spans="1:12" ht="14.25" customHeight="1" x14ac:dyDescent="0.25">
      <c r="A128" s="118"/>
      <c r="B128" s="118"/>
      <c r="C128" s="122"/>
      <c r="D128" s="110"/>
      <c r="E128" s="120"/>
      <c r="F128" s="110"/>
      <c r="G128" s="110"/>
      <c r="H128" s="110"/>
      <c r="I128" s="123"/>
      <c r="J128" s="110"/>
      <c r="K128" s="110"/>
      <c r="L128" s="118"/>
    </row>
    <row r="129" spans="1:12" ht="14.25" customHeight="1" x14ac:dyDescent="0.25">
      <c r="A129" s="118"/>
      <c r="B129" s="118"/>
      <c r="C129" s="122"/>
      <c r="D129" s="110"/>
      <c r="E129" s="120"/>
      <c r="F129" s="110"/>
      <c r="G129" s="110"/>
      <c r="H129" s="110"/>
      <c r="I129" s="110"/>
      <c r="J129" s="110"/>
      <c r="K129" s="110"/>
      <c r="L129" s="118"/>
    </row>
    <row r="130" spans="1:12" ht="14.25" customHeight="1" x14ac:dyDescent="0.25">
      <c r="A130" s="118"/>
      <c r="B130" s="118"/>
      <c r="C130" s="122"/>
      <c r="D130" s="110"/>
      <c r="E130" s="120"/>
      <c r="F130" s="110"/>
      <c r="G130" s="110"/>
      <c r="H130" s="110"/>
      <c r="I130" s="110"/>
      <c r="J130" s="110"/>
      <c r="K130" s="110"/>
      <c r="L130" s="118"/>
    </row>
    <row r="131" spans="1:12" ht="14.25" customHeight="1" x14ac:dyDescent="0.25">
      <c r="A131" s="118"/>
      <c r="B131" s="118"/>
      <c r="C131" s="122"/>
      <c r="D131" s="110"/>
      <c r="E131" s="120"/>
      <c r="F131" s="110"/>
      <c r="G131" s="110"/>
      <c r="H131" s="110"/>
      <c r="I131" s="110"/>
      <c r="J131" s="110"/>
      <c r="K131" s="110"/>
      <c r="L131" s="118"/>
    </row>
    <row r="132" spans="1:12" ht="14.25" customHeight="1" x14ac:dyDescent="0.25">
      <c r="A132" s="118"/>
      <c r="B132" s="118"/>
      <c r="C132" s="122"/>
      <c r="D132" s="110"/>
      <c r="E132" s="120"/>
      <c r="F132" s="110"/>
      <c r="G132" s="110"/>
      <c r="H132" s="110"/>
      <c r="I132" s="110"/>
      <c r="J132" s="110"/>
      <c r="K132" s="110"/>
      <c r="L132" s="118"/>
    </row>
    <row r="133" spans="1:12" ht="14.25" customHeight="1" x14ac:dyDescent="0.25">
      <c r="A133" s="118"/>
      <c r="B133" s="118"/>
      <c r="C133" s="122"/>
      <c r="D133" s="110"/>
      <c r="E133" s="120"/>
      <c r="F133" s="110"/>
      <c r="G133" s="110"/>
      <c r="H133" s="110"/>
      <c r="I133" s="110"/>
      <c r="J133" s="110"/>
      <c r="K133" s="110"/>
      <c r="L133" s="118"/>
    </row>
    <row r="134" spans="1:12" ht="14.25" customHeight="1" x14ac:dyDescent="0.25">
      <c r="A134" s="118"/>
      <c r="B134" s="118"/>
      <c r="C134" s="119"/>
      <c r="D134" s="118"/>
      <c r="E134" s="120"/>
      <c r="F134" s="118"/>
      <c r="G134" s="118"/>
      <c r="H134" s="118"/>
      <c r="I134" s="118"/>
      <c r="J134" s="118"/>
      <c r="K134" s="118"/>
      <c r="L134" s="118"/>
    </row>
    <row r="135" spans="1:12" ht="14.25" customHeight="1" x14ac:dyDescent="0.25">
      <c r="A135" s="118"/>
      <c r="B135" s="118"/>
      <c r="C135" s="119"/>
      <c r="D135" s="118"/>
      <c r="E135" s="120"/>
      <c r="F135" s="118"/>
      <c r="G135" s="118"/>
      <c r="H135" s="118"/>
      <c r="I135" s="118"/>
      <c r="J135" s="118"/>
      <c r="K135" s="118"/>
      <c r="L135" s="118"/>
    </row>
    <row r="136" spans="1:12" ht="14.25" customHeight="1" x14ac:dyDescent="0.25">
      <c r="A136" s="118"/>
      <c r="B136" s="118"/>
      <c r="C136" s="119"/>
      <c r="D136" s="118"/>
      <c r="E136" s="120"/>
      <c r="F136" s="118"/>
      <c r="G136" s="118"/>
      <c r="H136" s="118"/>
      <c r="I136" s="118"/>
      <c r="J136" s="118"/>
      <c r="K136" s="118"/>
      <c r="L136" s="118"/>
    </row>
    <row r="137" spans="1:12" ht="14.25" customHeight="1" x14ac:dyDescent="0.25">
      <c r="A137" s="118"/>
      <c r="B137" s="118"/>
      <c r="C137" s="119"/>
      <c r="D137" s="118"/>
      <c r="E137" s="120"/>
      <c r="F137" s="118"/>
      <c r="G137" s="118"/>
      <c r="H137" s="118"/>
      <c r="I137" s="118"/>
      <c r="J137" s="118"/>
      <c r="K137" s="118"/>
      <c r="L137" s="118"/>
    </row>
    <row r="138" spans="1:12" ht="14.25" customHeight="1" x14ac:dyDescent="0.25">
      <c r="A138" s="118"/>
      <c r="B138" s="118"/>
      <c r="C138" s="119"/>
      <c r="D138" s="118"/>
      <c r="E138" s="120"/>
      <c r="F138" s="118"/>
      <c r="G138" s="118"/>
      <c r="H138" s="118"/>
      <c r="I138" s="118"/>
      <c r="J138" s="118"/>
      <c r="K138" s="118"/>
      <c r="L138" s="118"/>
    </row>
    <row r="139" spans="1:12" ht="14.25" customHeight="1" x14ac:dyDescent="0.25">
      <c r="A139" s="118"/>
      <c r="B139" s="118"/>
      <c r="C139" s="119"/>
      <c r="D139" s="118"/>
      <c r="E139" s="120"/>
      <c r="F139" s="118"/>
      <c r="G139" s="118"/>
      <c r="H139" s="118"/>
      <c r="I139" s="118"/>
      <c r="J139" s="118"/>
      <c r="K139" s="118"/>
      <c r="L139" s="118"/>
    </row>
    <row r="140" spans="1:12" ht="14.25" customHeight="1" x14ac:dyDescent="0.25">
      <c r="A140" s="118"/>
      <c r="B140" s="118"/>
      <c r="C140" s="119"/>
      <c r="D140" s="118"/>
      <c r="E140" s="120"/>
      <c r="F140" s="118"/>
      <c r="G140" s="118"/>
      <c r="H140" s="118"/>
      <c r="I140" s="118"/>
      <c r="J140" s="118"/>
      <c r="K140" s="118"/>
      <c r="L140" s="118"/>
    </row>
    <row r="141" spans="1:12" ht="14.25" customHeight="1" x14ac:dyDescent="0.25">
      <c r="A141" s="118"/>
      <c r="B141" s="118"/>
      <c r="C141" s="119"/>
      <c r="D141" s="118"/>
      <c r="E141" s="120"/>
      <c r="F141" s="118"/>
      <c r="G141" s="118"/>
      <c r="H141" s="118"/>
      <c r="I141" s="118"/>
      <c r="J141" s="118"/>
      <c r="K141" s="118"/>
      <c r="L141" s="118"/>
    </row>
    <row r="142" spans="1:12" ht="14.25" customHeight="1" x14ac:dyDescent="0.25">
      <c r="A142" s="118"/>
      <c r="B142" s="118"/>
      <c r="C142" s="119"/>
      <c r="D142" s="118"/>
      <c r="E142" s="120"/>
      <c r="F142" s="118"/>
      <c r="G142" s="118"/>
      <c r="H142" s="118"/>
      <c r="I142" s="118"/>
      <c r="J142" s="118"/>
      <c r="K142" s="118"/>
      <c r="L142" s="118"/>
    </row>
    <row r="143" spans="1:12" ht="14.25" customHeight="1" x14ac:dyDescent="0.25">
      <c r="A143" s="118"/>
      <c r="B143" s="118"/>
      <c r="C143" s="119"/>
      <c r="D143" s="118"/>
      <c r="E143" s="120"/>
      <c r="F143" s="118"/>
      <c r="G143" s="118"/>
      <c r="H143" s="118"/>
      <c r="I143" s="118"/>
      <c r="J143" s="118"/>
      <c r="K143" s="118"/>
      <c r="L143" s="118"/>
    </row>
    <row r="144" spans="1:12" ht="14.25" customHeight="1" x14ac:dyDescent="0.25">
      <c r="A144" s="118"/>
      <c r="B144" s="118"/>
      <c r="C144" s="119"/>
      <c r="D144" s="118"/>
      <c r="E144" s="120"/>
      <c r="F144" s="118"/>
      <c r="G144" s="118"/>
      <c r="H144" s="118"/>
      <c r="I144" s="118"/>
      <c r="J144" s="118"/>
      <c r="K144" s="118"/>
      <c r="L144" s="118"/>
    </row>
    <row r="145" spans="1:12" ht="14.25" customHeight="1" x14ac:dyDescent="0.25">
      <c r="A145" s="118"/>
      <c r="B145" s="118"/>
      <c r="C145" s="119"/>
      <c r="D145" s="118"/>
      <c r="E145" s="120"/>
      <c r="F145" s="118"/>
      <c r="G145" s="118"/>
      <c r="H145" s="118"/>
      <c r="I145" s="118"/>
      <c r="J145" s="118"/>
      <c r="K145" s="118"/>
      <c r="L145" s="118"/>
    </row>
    <row r="146" spans="1:12" ht="14.25" customHeight="1" x14ac:dyDescent="0.25">
      <c r="A146" s="118"/>
      <c r="B146" s="118"/>
      <c r="C146" s="119"/>
      <c r="D146" s="118"/>
      <c r="E146" s="120"/>
      <c r="F146" s="118"/>
      <c r="G146" s="118"/>
      <c r="H146" s="118"/>
      <c r="I146" s="118"/>
      <c r="J146" s="118"/>
      <c r="K146" s="118"/>
      <c r="L146" s="118"/>
    </row>
    <row r="147" spans="1:12" ht="14.25" customHeight="1" x14ac:dyDescent="0.25">
      <c r="A147" s="118"/>
      <c r="B147" s="118"/>
      <c r="C147" s="119"/>
      <c r="D147" s="118"/>
      <c r="E147" s="120"/>
      <c r="F147" s="118"/>
      <c r="G147" s="118"/>
      <c r="H147" s="118"/>
      <c r="I147" s="118"/>
      <c r="J147" s="118"/>
      <c r="K147" s="118"/>
      <c r="L147" s="118"/>
    </row>
    <row r="148" spans="1:12" ht="14.25" customHeight="1" x14ac:dyDescent="0.25">
      <c r="A148" s="118"/>
      <c r="B148" s="118"/>
      <c r="C148" s="119"/>
      <c r="D148" s="118"/>
      <c r="E148" s="120"/>
      <c r="F148" s="118"/>
      <c r="G148" s="118"/>
      <c r="H148" s="118"/>
      <c r="I148" s="118"/>
      <c r="J148" s="118"/>
      <c r="K148" s="118"/>
      <c r="L148" s="118"/>
    </row>
    <row r="149" spans="1:12" ht="14.25" customHeight="1" x14ac:dyDescent="0.25">
      <c r="C149" s="94"/>
    </row>
    <row r="150" spans="1:12" ht="14.25" customHeight="1" x14ac:dyDescent="0.25">
      <c r="C150" s="94"/>
    </row>
    <row r="151" spans="1:12" ht="14.25" customHeight="1" x14ac:dyDescent="0.25">
      <c r="C151" s="94"/>
    </row>
    <row r="152" spans="1:12" ht="14.25" customHeight="1" x14ac:dyDescent="0.25">
      <c r="C152" s="94"/>
    </row>
    <row r="153" spans="1:12" ht="14.25" customHeight="1" x14ac:dyDescent="0.25">
      <c r="C153" s="94"/>
    </row>
    <row r="154" spans="1:12" ht="14.25" customHeight="1" x14ac:dyDescent="0.25">
      <c r="C154" s="94"/>
    </row>
    <row r="155" spans="1:12" ht="14.25" customHeight="1" x14ac:dyDescent="0.25">
      <c r="C155" s="94"/>
    </row>
    <row r="156" spans="1:12" ht="14.25" customHeight="1" x14ac:dyDescent="0.25">
      <c r="C156" s="94"/>
    </row>
    <row r="157" spans="1:12" ht="14.25" customHeight="1" x14ac:dyDescent="0.25">
      <c r="C157" s="94"/>
    </row>
    <row r="158" spans="1:12" ht="14.25" customHeight="1" x14ac:dyDescent="0.25">
      <c r="C158" s="94"/>
    </row>
    <row r="159" spans="1:12" ht="14.25" customHeight="1" x14ac:dyDescent="0.25">
      <c r="C159" s="94"/>
    </row>
    <row r="160" spans="1:12" ht="14.25" customHeight="1" x14ac:dyDescent="0.25">
      <c r="C160" s="94"/>
    </row>
    <row r="161" spans="3:3" ht="14.25" customHeight="1" x14ac:dyDescent="0.25">
      <c r="C161" s="94"/>
    </row>
    <row r="162" spans="3:3" ht="14.25" customHeight="1" x14ac:dyDescent="0.25">
      <c r="C162" s="94"/>
    </row>
    <row r="163" spans="3:3" ht="14.25" customHeight="1" x14ac:dyDescent="0.25">
      <c r="C163" s="94"/>
    </row>
    <row r="164" spans="3:3" ht="14.25" customHeight="1" x14ac:dyDescent="0.25">
      <c r="C164" s="94"/>
    </row>
    <row r="165" spans="3:3" ht="14.25" customHeight="1" x14ac:dyDescent="0.25">
      <c r="C165" s="94"/>
    </row>
    <row r="166" spans="3:3" ht="14.25" customHeight="1" x14ac:dyDescent="0.25">
      <c r="C166" s="94"/>
    </row>
    <row r="167" spans="3:3" ht="14.25" customHeight="1" x14ac:dyDescent="0.25">
      <c r="C167" s="94"/>
    </row>
    <row r="168" spans="3:3" ht="14.25" customHeight="1" x14ac:dyDescent="0.25">
      <c r="C168" s="94"/>
    </row>
    <row r="169" spans="3:3" ht="14.25" customHeight="1" x14ac:dyDescent="0.25">
      <c r="C169" s="94"/>
    </row>
    <row r="170" spans="3:3" ht="14.25" customHeight="1" x14ac:dyDescent="0.25">
      <c r="C170" s="94"/>
    </row>
    <row r="171" spans="3:3" ht="14.25" customHeight="1" x14ac:dyDescent="0.25">
      <c r="C171" s="94"/>
    </row>
    <row r="172" spans="3:3" ht="14.25" customHeight="1" x14ac:dyDescent="0.25">
      <c r="C172" s="94"/>
    </row>
    <row r="173" spans="3:3" ht="14.25" customHeight="1" x14ac:dyDescent="0.25">
      <c r="C173" s="94"/>
    </row>
    <row r="174" spans="3:3" ht="14.25" customHeight="1" x14ac:dyDescent="0.25">
      <c r="C174" s="94"/>
    </row>
    <row r="175" spans="3:3" ht="14.25" customHeight="1" x14ac:dyDescent="0.25">
      <c r="C175" s="94"/>
    </row>
    <row r="176" spans="3:3" ht="14.25" customHeight="1" x14ac:dyDescent="0.25">
      <c r="C176" s="94"/>
    </row>
    <row r="177" spans="3:3" ht="14.25" customHeight="1" x14ac:dyDescent="0.25">
      <c r="C177" s="94"/>
    </row>
    <row r="178" spans="3:3" ht="14.25" customHeight="1" x14ac:dyDescent="0.25">
      <c r="C178" s="94"/>
    </row>
    <row r="179" spans="3:3" ht="14.25" customHeight="1" x14ac:dyDescent="0.25">
      <c r="C179" s="94"/>
    </row>
    <row r="180" spans="3:3" ht="14.25" customHeight="1" x14ac:dyDescent="0.25">
      <c r="C180" s="94"/>
    </row>
    <row r="181" spans="3:3" ht="14.25" customHeight="1" x14ac:dyDescent="0.25">
      <c r="C181" s="94"/>
    </row>
    <row r="182" spans="3:3" ht="14.25" customHeight="1" x14ac:dyDescent="0.25">
      <c r="C182" s="94"/>
    </row>
    <row r="183" spans="3:3" ht="14.25" customHeight="1" x14ac:dyDescent="0.25">
      <c r="C183" s="94"/>
    </row>
    <row r="184" spans="3:3" ht="14.25" customHeight="1" x14ac:dyDescent="0.25">
      <c r="C184" s="94"/>
    </row>
    <row r="185" spans="3:3" ht="14.25" customHeight="1" x14ac:dyDescent="0.25">
      <c r="C185" s="94"/>
    </row>
    <row r="186" spans="3:3" ht="14.25" customHeight="1" x14ac:dyDescent="0.25">
      <c r="C186" s="94"/>
    </row>
    <row r="187" spans="3:3" ht="14.25" customHeight="1" x14ac:dyDescent="0.25">
      <c r="C187" s="94"/>
    </row>
    <row r="188" spans="3:3" ht="14.25" customHeight="1" x14ac:dyDescent="0.25">
      <c r="C188" s="94"/>
    </row>
    <row r="189" spans="3:3" ht="14.25" customHeight="1" x14ac:dyDescent="0.25">
      <c r="C189" s="94"/>
    </row>
    <row r="190" spans="3:3" ht="14.25" customHeight="1" x14ac:dyDescent="0.25">
      <c r="C190" s="94"/>
    </row>
    <row r="191" spans="3:3" ht="14.25" customHeight="1" x14ac:dyDescent="0.25">
      <c r="C191" s="94"/>
    </row>
    <row r="192" spans="3:3" ht="14.25" customHeight="1" x14ac:dyDescent="0.25">
      <c r="C192" s="94"/>
    </row>
    <row r="193" spans="3:3" ht="14.25" customHeight="1" x14ac:dyDescent="0.25">
      <c r="C193" s="94"/>
    </row>
    <row r="194" spans="3:3" ht="14.25" customHeight="1" x14ac:dyDescent="0.25">
      <c r="C194" s="94"/>
    </row>
    <row r="195" spans="3:3" ht="14.25" customHeight="1" x14ac:dyDescent="0.25">
      <c r="C195" s="94"/>
    </row>
    <row r="196" spans="3:3" ht="14.25" customHeight="1" x14ac:dyDescent="0.25">
      <c r="C196" s="94"/>
    </row>
    <row r="197" spans="3:3" ht="14.25" customHeight="1" x14ac:dyDescent="0.25">
      <c r="C197" s="94"/>
    </row>
    <row r="198" spans="3:3" ht="14.25" customHeight="1" x14ac:dyDescent="0.25">
      <c r="C198" s="94"/>
    </row>
    <row r="199" spans="3:3" ht="14.25" customHeight="1" x14ac:dyDescent="0.25">
      <c r="C199" s="94"/>
    </row>
    <row r="200" spans="3:3" ht="14.25" customHeight="1" x14ac:dyDescent="0.25">
      <c r="C200" s="94"/>
    </row>
    <row r="201" spans="3:3" ht="14.25" customHeight="1" x14ac:dyDescent="0.25">
      <c r="C201" s="94"/>
    </row>
    <row r="202" spans="3:3" ht="14.25" customHeight="1" x14ac:dyDescent="0.25">
      <c r="C202" s="94"/>
    </row>
    <row r="203" spans="3:3" ht="14.25" customHeight="1" x14ac:dyDescent="0.25">
      <c r="C203" s="94"/>
    </row>
    <row r="204" spans="3:3" ht="14.25" customHeight="1" x14ac:dyDescent="0.25">
      <c r="C204" s="94"/>
    </row>
    <row r="205" spans="3:3" ht="14.25" customHeight="1" x14ac:dyDescent="0.25">
      <c r="C205" s="94"/>
    </row>
    <row r="206" spans="3:3" ht="14.25" customHeight="1" x14ac:dyDescent="0.25">
      <c r="C206" s="94"/>
    </row>
    <row r="207" spans="3:3" ht="14.25" customHeight="1" x14ac:dyDescent="0.25">
      <c r="C207" s="94"/>
    </row>
    <row r="208" spans="3:3" ht="14.25" customHeight="1" x14ac:dyDescent="0.25">
      <c r="C208" s="94"/>
    </row>
    <row r="209" spans="3:3" ht="14.25" customHeight="1" x14ac:dyDescent="0.25">
      <c r="C209" s="94"/>
    </row>
    <row r="210" spans="3:3" ht="14.25" customHeight="1" x14ac:dyDescent="0.25">
      <c r="C210" s="94"/>
    </row>
    <row r="211" spans="3:3" ht="14.25" customHeight="1" x14ac:dyDescent="0.25">
      <c r="C211" s="94"/>
    </row>
    <row r="212" spans="3:3" ht="14.25" customHeight="1" x14ac:dyDescent="0.25">
      <c r="C212" s="94"/>
    </row>
    <row r="213" spans="3:3" ht="14.25" customHeight="1" x14ac:dyDescent="0.25">
      <c r="C213" s="94"/>
    </row>
    <row r="214" spans="3:3" ht="14.25" customHeight="1" x14ac:dyDescent="0.25">
      <c r="C214" s="94"/>
    </row>
    <row r="215" spans="3:3" ht="14.25" customHeight="1" x14ac:dyDescent="0.25">
      <c r="C215" s="94"/>
    </row>
    <row r="216" spans="3:3" ht="14.25" customHeight="1" x14ac:dyDescent="0.25">
      <c r="C216" s="94"/>
    </row>
    <row r="217" spans="3:3" ht="14.25" customHeight="1" x14ac:dyDescent="0.25">
      <c r="C217" s="94"/>
    </row>
    <row r="218" spans="3:3" ht="14.25" customHeight="1" x14ac:dyDescent="0.25">
      <c r="C218" s="94"/>
    </row>
    <row r="219" spans="3:3" ht="14.25" customHeight="1" x14ac:dyDescent="0.25">
      <c r="C219" s="94"/>
    </row>
    <row r="220" spans="3:3" ht="14.25" customHeight="1" x14ac:dyDescent="0.25">
      <c r="C220" s="94"/>
    </row>
    <row r="221" spans="3:3" ht="14.25" customHeight="1" x14ac:dyDescent="0.25">
      <c r="C221" s="94"/>
    </row>
    <row r="222" spans="3:3" ht="14.25" customHeight="1" x14ac:dyDescent="0.25">
      <c r="C222" s="94"/>
    </row>
    <row r="223" spans="3:3" ht="14.25" customHeight="1" x14ac:dyDescent="0.25">
      <c r="C223" s="94"/>
    </row>
    <row r="224" spans="3:3" ht="14.25" customHeight="1" x14ac:dyDescent="0.25">
      <c r="C224" s="94"/>
    </row>
    <row r="225" spans="3:3" ht="14.25" customHeight="1" x14ac:dyDescent="0.25">
      <c r="C225" s="94"/>
    </row>
    <row r="226" spans="3:3" ht="14.25" customHeight="1" x14ac:dyDescent="0.25">
      <c r="C226" s="94"/>
    </row>
    <row r="227" spans="3:3" ht="14.25" customHeight="1" x14ac:dyDescent="0.25">
      <c r="C227" s="94"/>
    </row>
    <row r="228" spans="3:3" ht="14.25" customHeight="1" x14ac:dyDescent="0.25">
      <c r="C228" s="94"/>
    </row>
    <row r="229" spans="3:3" ht="14.25" customHeight="1" x14ac:dyDescent="0.25">
      <c r="C229" s="94"/>
    </row>
    <row r="230" spans="3:3" ht="14.25" customHeight="1" x14ac:dyDescent="0.25">
      <c r="C230" s="94"/>
    </row>
    <row r="231" spans="3:3" ht="14.25" customHeight="1" x14ac:dyDescent="0.25">
      <c r="C231" s="94"/>
    </row>
    <row r="232" spans="3:3" ht="14.25" customHeight="1" x14ac:dyDescent="0.25">
      <c r="C232" s="94"/>
    </row>
    <row r="233" spans="3:3" ht="14.25" customHeight="1" x14ac:dyDescent="0.25">
      <c r="C233" s="94"/>
    </row>
    <row r="234" spans="3:3" ht="14.25" customHeight="1" x14ac:dyDescent="0.25">
      <c r="C234" s="94"/>
    </row>
    <row r="235" spans="3:3" ht="14.25" customHeight="1" x14ac:dyDescent="0.25">
      <c r="C235" s="94"/>
    </row>
    <row r="236" spans="3:3" ht="14.25" customHeight="1" x14ac:dyDescent="0.25">
      <c r="C236" s="94"/>
    </row>
    <row r="237" spans="3:3" ht="14.25" customHeight="1" x14ac:dyDescent="0.25">
      <c r="C237" s="94"/>
    </row>
    <row r="238" spans="3:3" ht="14.25" customHeight="1" x14ac:dyDescent="0.25">
      <c r="C238" s="94"/>
    </row>
    <row r="239" spans="3:3" ht="14.25" customHeight="1" x14ac:dyDescent="0.25">
      <c r="C239" s="94"/>
    </row>
    <row r="240" spans="3:3" ht="14.25" customHeight="1" x14ac:dyDescent="0.25">
      <c r="C240" s="94"/>
    </row>
    <row r="241" spans="3:3" ht="14.25" customHeight="1" x14ac:dyDescent="0.25">
      <c r="C241" s="94"/>
    </row>
    <row r="242" spans="3:3" ht="14.25" customHeight="1" x14ac:dyDescent="0.25">
      <c r="C242" s="94"/>
    </row>
    <row r="243" spans="3:3" ht="14.25" customHeight="1" x14ac:dyDescent="0.25">
      <c r="C243" s="94"/>
    </row>
    <row r="244" spans="3:3" ht="14.25" customHeight="1" x14ac:dyDescent="0.25">
      <c r="C244" s="94"/>
    </row>
    <row r="245" spans="3:3" ht="14.25" customHeight="1" x14ac:dyDescent="0.25">
      <c r="C245" s="94"/>
    </row>
    <row r="246" spans="3:3" ht="14.25" customHeight="1" x14ac:dyDescent="0.25">
      <c r="C246" s="94"/>
    </row>
    <row r="247" spans="3:3" ht="14.25" customHeight="1" x14ac:dyDescent="0.25">
      <c r="C247" s="94"/>
    </row>
    <row r="248" spans="3:3" ht="14.25" customHeight="1" x14ac:dyDescent="0.25">
      <c r="C248" s="94"/>
    </row>
    <row r="249" spans="3:3" ht="14.25" customHeight="1" x14ac:dyDescent="0.25">
      <c r="C249" s="94"/>
    </row>
    <row r="250" spans="3:3" ht="14.25" customHeight="1" x14ac:dyDescent="0.25">
      <c r="C250" s="94"/>
    </row>
    <row r="251" spans="3:3" ht="14.25" customHeight="1" x14ac:dyDescent="0.25">
      <c r="C251" s="94"/>
    </row>
    <row r="252" spans="3:3" ht="14.25" customHeight="1" x14ac:dyDescent="0.25">
      <c r="C252" s="94"/>
    </row>
    <row r="253" spans="3:3" ht="14.25" customHeight="1" x14ac:dyDescent="0.25">
      <c r="C253" s="94"/>
    </row>
    <row r="254" spans="3:3" ht="14.25" customHeight="1" x14ac:dyDescent="0.25">
      <c r="C254" s="94"/>
    </row>
    <row r="255" spans="3:3" ht="14.25" customHeight="1" x14ac:dyDescent="0.25">
      <c r="C255" s="94"/>
    </row>
    <row r="256" spans="3:3" ht="14.25" customHeight="1" x14ac:dyDescent="0.25">
      <c r="C256" s="94"/>
    </row>
    <row r="257" spans="3:3" ht="14.25" customHeight="1" x14ac:dyDescent="0.25">
      <c r="C257" s="94"/>
    </row>
    <row r="258" spans="3:3" ht="14.25" customHeight="1" x14ac:dyDescent="0.25">
      <c r="C258" s="94"/>
    </row>
    <row r="259" spans="3:3" ht="14.25" customHeight="1" x14ac:dyDescent="0.25">
      <c r="C259" s="94"/>
    </row>
    <row r="260" spans="3:3" ht="14.25" customHeight="1" x14ac:dyDescent="0.25">
      <c r="C260" s="94"/>
    </row>
    <row r="261" spans="3:3" ht="14.25" customHeight="1" x14ac:dyDescent="0.25">
      <c r="C261" s="94"/>
    </row>
    <row r="262" spans="3:3" ht="14.25" customHeight="1" x14ac:dyDescent="0.25">
      <c r="C262" s="94"/>
    </row>
    <row r="263" spans="3:3" ht="14.25" customHeight="1" x14ac:dyDescent="0.25">
      <c r="C263" s="94"/>
    </row>
    <row r="264" spans="3:3" ht="14.25" customHeight="1" x14ac:dyDescent="0.25">
      <c r="C264" s="94"/>
    </row>
    <row r="265" spans="3:3" ht="14.25" customHeight="1" x14ac:dyDescent="0.25">
      <c r="C265" s="94"/>
    </row>
    <row r="266" spans="3:3" ht="14.25" customHeight="1" x14ac:dyDescent="0.25">
      <c r="C266" s="94"/>
    </row>
    <row r="267" spans="3:3" ht="14.25" customHeight="1" x14ac:dyDescent="0.25">
      <c r="C267" s="94"/>
    </row>
    <row r="268" spans="3:3" ht="14.25" customHeight="1" x14ac:dyDescent="0.25">
      <c r="C268" s="94"/>
    </row>
    <row r="269" spans="3:3" ht="14.25" customHeight="1" x14ac:dyDescent="0.25">
      <c r="C269" s="94"/>
    </row>
    <row r="270" spans="3:3" ht="14.25" customHeight="1" x14ac:dyDescent="0.25">
      <c r="C270" s="94"/>
    </row>
    <row r="271" spans="3:3" ht="14.25" customHeight="1" x14ac:dyDescent="0.25">
      <c r="C271" s="94"/>
    </row>
    <row r="272" spans="3:3" ht="14.25" customHeight="1" x14ac:dyDescent="0.25">
      <c r="C272" s="94"/>
    </row>
    <row r="273" spans="3:3" ht="14.25" customHeight="1" x14ac:dyDescent="0.25">
      <c r="C273" s="94"/>
    </row>
    <row r="274" spans="3:3" ht="14.25" customHeight="1" x14ac:dyDescent="0.25">
      <c r="C274" s="94"/>
    </row>
    <row r="275" spans="3:3" ht="14.25" customHeight="1" x14ac:dyDescent="0.25">
      <c r="C275" s="94"/>
    </row>
    <row r="276" spans="3:3" ht="14.25" customHeight="1" x14ac:dyDescent="0.25">
      <c r="C276" s="94"/>
    </row>
    <row r="277" spans="3:3" ht="14.25" customHeight="1" x14ac:dyDescent="0.25">
      <c r="C277" s="94"/>
    </row>
    <row r="278" spans="3:3" ht="14.25" customHeight="1" x14ac:dyDescent="0.25">
      <c r="C278" s="94"/>
    </row>
    <row r="279" spans="3:3" ht="14.25" customHeight="1" x14ac:dyDescent="0.25">
      <c r="C279" s="94"/>
    </row>
    <row r="280" spans="3:3" ht="14.25" customHeight="1" x14ac:dyDescent="0.25">
      <c r="C280" s="94"/>
    </row>
    <row r="281" spans="3:3" ht="14.25" customHeight="1" x14ac:dyDescent="0.25">
      <c r="C281" s="94"/>
    </row>
    <row r="282" spans="3:3" ht="14.25" customHeight="1" x14ac:dyDescent="0.25">
      <c r="C282" s="94"/>
    </row>
    <row r="283" spans="3:3" ht="14.25" customHeight="1" x14ac:dyDescent="0.25">
      <c r="C283" s="94"/>
    </row>
    <row r="284" spans="3:3" ht="14.25" customHeight="1" x14ac:dyDescent="0.25">
      <c r="C284" s="94"/>
    </row>
    <row r="285" spans="3:3" ht="14.25" customHeight="1" x14ac:dyDescent="0.25">
      <c r="C285" s="94"/>
    </row>
    <row r="286" spans="3:3" ht="14.25" customHeight="1" x14ac:dyDescent="0.25">
      <c r="C286" s="94"/>
    </row>
    <row r="287" spans="3:3" ht="14.25" customHeight="1" x14ac:dyDescent="0.25">
      <c r="C287" s="94"/>
    </row>
    <row r="288" spans="3:3" ht="14.25" customHeight="1" x14ac:dyDescent="0.25">
      <c r="C288" s="94"/>
    </row>
    <row r="289" spans="3:3" ht="14.25" customHeight="1" x14ac:dyDescent="0.25">
      <c r="C289" s="94"/>
    </row>
    <row r="290" spans="3:3" ht="14.25" customHeight="1" x14ac:dyDescent="0.25">
      <c r="C290" s="94"/>
    </row>
    <row r="291" spans="3:3" ht="14.25" customHeight="1" x14ac:dyDescent="0.25">
      <c r="C291" s="94"/>
    </row>
    <row r="292" spans="3:3" ht="14.25" customHeight="1" x14ac:dyDescent="0.25">
      <c r="C292" s="94"/>
    </row>
    <row r="293" spans="3:3" ht="14.25" customHeight="1" x14ac:dyDescent="0.25">
      <c r="C293" s="94"/>
    </row>
    <row r="294" spans="3:3" ht="14.25" customHeight="1" x14ac:dyDescent="0.25">
      <c r="C294" s="94"/>
    </row>
    <row r="295" spans="3:3" ht="14.25" customHeight="1" x14ac:dyDescent="0.25">
      <c r="C295" s="94"/>
    </row>
    <row r="296" spans="3:3" ht="14.25" customHeight="1" x14ac:dyDescent="0.25">
      <c r="C296" s="94"/>
    </row>
    <row r="297" spans="3:3" ht="14.25" customHeight="1" x14ac:dyDescent="0.25">
      <c r="C297" s="94"/>
    </row>
    <row r="298" spans="3:3" ht="14.25" customHeight="1" x14ac:dyDescent="0.25">
      <c r="C298" s="94"/>
    </row>
    <row r="299" spans="3:3" ht="14.25" customHeight="1" x14ac:dyDescent="0.25">
      <c r="C299" s="94"/>
    </row>
    <row r="300" spans="3:3" ht="14.25" customHeight="1" x14ac:dyDescent="0.25">
      <c r="C300" s="94"/>
    </row>
    <row r="301" spans="3:3" ht="14.25" customHeight="1" x14ac:dyDescent="0.25">
      <c r="C301" s="94"/>
    </row>
    <row r="302" spans="3:3" ht="14.25" customHeight="1" x14ac:dyDescent="0.25">
      <c r="C302" s="94"/>
    </row>
    <row r="303" spans="3:3" ht="14.25" customHeight="1" x14ac:dyDescent="0.25">
      <c r="C303" s="94"/>
    </row>
    <row r="304" spans="3:3" ht="14.25" customHeight="1" x14ac:dyDescent="0.25">
      <c r="C304" s="94"/>
    </row>
    <row r="305" spans="3:3" ht="14.25" customHeight="1" x14ac:dyDescent="0.25">
      <c r="C305" s="94"/>
    </row>
    <row r="306" spans="3:3" ht="14.25" customHeight="1" x14ac:dyDescent="0.25">
      <c r="C306" s="94"/>
    </row>
    <row r="307" spans="3:3" ht="14.25" customHeight="1" x14ac:dyDescent="0.25">
      <c r="C307" s="94"/>
    </row>
    <row r="308" spans="3:3" ht="14.25" customHeight="1" x14ac:dyDescent="0.25">
      <c r="C308" s="94"/>
    </row>
    <row r="309" spans="3:3" ht="14.25" customHeight="1" x14ac:dyDescent="0.25">
      <c r="C309" s="94"/>
    </row>
    <row r="310" spans="3:3" ht="14.25" customHeight="1" x14ac:dyDescent="0.25">
      <c r="C310" s="94"/>
    </row>
    <row r="311" spans="3:3" ht="14.25" customHeight="1" x14ac:dyDescent="0.25">
      <c r="C311" s="94"/>
    </row>
    <row r="312" spans="3:3" ht="14.25" customHeight="1" x14ac:dyDescent="0.25">
      <c r="C312" s="94"/>
    </row>
    <row r="313" spans="3:3" ht="14.25" customHeight="1" x14ac:dyDescent="0.25">
      <c r="C313" s="94"/>
    </row>
    <row r="314" spans="3:3" ht="14.25" customHeight="1" x14ac:dyDescent="0.25">
      <c r="C314" s="94"/>
    </row>
    <row r="315" spans="3:3" ht="14.25" customHeight="1" x14ac:dyDescent="0.25">
      <c r="C315" s="94"/>
    </row>
    <row r="316" spans="3:3" ht="14.25" customHeight="1" x14ac:dyDescent="0.25">
      <c r="C316" s="94"/>
    </row>
    <row r="317" spans="3:3" ht="14.25" customHeight="1" x14ac:dyDescent="0.25">
      <c r="C317" s="94"/>
    </row>
    <row r="318" spans="3:3" ht="14.25" customHeight="1" x14ac:dyDescent="0.25">
      <c r="C318" s="94"/>
    </row>
    <row r="319" spans="3:3" ht="14.25" customHeight="1" x14ac:dyDescent="0.25">
      <c r="C319" s="94"/>
    </row>
    <row r="320" spans="3:3" ht="14.25" customHeight="1" x14ac:dyDescent="0.25">
      <c r="C320" s="94"/>
    </row>
    <row r="321" spans="3:3" ht="14.25" customHeight="1" x14ac:dyDescent="0.25">
      <c r="C321" s="94"/>
    </row>
    <row r="322" spans="3:3" ht="14.25" customHeight="1" x14ac:dyDescent="0.25">
      <c r="C322" s="94"/>
    </row>
    <row r="323" spans="3:3" ht="14.25" customHeight="1" x14ac:dyDescent="0.25">
      <c r="C323" s="94"/>
    </row>
    <row r="324" spans="3:3" ht="14.25" customHeight="1" x14ac:dyDescent="0.25">
      <c r="C324" s="94"/>
    </row>
    <row r="325" spans="3:3" ht="14.25" customHeight="1" x14ac:dyDescent="0.25">
      <c r="C325" s="94"/>
    </row>
    <row r="326" spans="3:3" ht="14.25" customHeight="1" x14ac:dyDescent="0.25">
      <c r="C326" s="94"/>
    </row>
    <row r="327" spans="3:3" ht="14.25" customHeight="1" x14ac:dyDescent="0.25">
      <c r="C327" s="94"/>
    </row>
    <row r="328" spans="3:3" ht="14.25" customHeight="1" x14ac:dyDescent="0.25">
      <c r="C328" s="94"/>
    </row>
    <row r="329" spans="3:3" ht="14.25" customHeight="1" x14ac:dyDescent="0.25">
      <c r="C329" s="94"/>
    </row>
    <row r="330" spans="3:3" ht="14.25" customHeight="1" x14ac:dyDescent="0.25">
      <c r="C330" s="94"/>
    </row>
    <row r="331" spans="3:3" ht="14.25" customHeight="1" x14ac:dyDescent="0.25">
      <c r="C331" s="94"/>
    </row>
    <row r="332" spans="3:3" ht="14.25" customHeight="1" x14ac:dyDescent="0.25">
      <c r="C332" s="94"/>
    </row>
    <row r="333" spans="3:3" ht="14.25" customHeight="1" x14ac:dyDescent="0.25">
      <c r="C333" s="94"/>
    </row>
    <row r="334" spans="3:3" ht="14.25" customHeight="1" x14ac:dyDescent="0.25">
      <c r="C334" s="94"/>
    </row>
    <row r="335" spans="3:3" ht="14.25" customHeight="1" x14ac:dyDescent="0.25">
      <c r="C335" s="94"/>
    </row>
    <row r="336" spans="3:3" ht="14.25" customHeight="1" x14ac:dyDescent="0.25">
      <c r="C336" s="94"/>
    </row>
    <row r="337" spans="3:3" ht="14.25" customHeight="1" x14ac:dyDescent="0.25">
      <c r="C337" s="94"/>
    </row>
    <row r="338" spans="3:3" ht="14.25" customHeight="1" x14ac:dyDescent="0.25">
      <c r="C338" s="94"/>
    </row>
    <row r="339" spans="3:3" ht="14.25" customHeight="1" x14ac:dyDescent="0.25">
      <c r="C339" s="94"/>
    </row>
    <row r="340" spans="3:3" ht="14.25" customHeight="1" x14ac:dyDescent="0.25">
      <c r="C340" s="94"/>
    </row>
    <row r="341" spans="3:3" ht="14.25" customHeight="1" x14ac:dyDescent="0.25">
      <c r="C341" s="94"/>
    </row>
    <row r="342" spans="3:3" ht="14.25" customHeight="1" x14ac:dyDescent="0.25">
      <c r="C342" s="94"/>
    </row>
    <row r="343" spans="3:3" ht="14.25" customHeight="1" x14ac:dyDescent="0.25">
      <c r="C343" s="94"/>
    </row>
    <row r="344" spans="3:3" ht="14.25" customHeight="1" x14ac:dyDescent="0.25">
      <c r="C344" s="94"/>
    </row>
    <row r="345" spans="3:3" ht="14.25" customHeight="1" x14ac:dyDescent="0.25">
      <c r="C345" s="94"/>
    </row>
    <row r="346" spans="3:3" ht="14.25" customHeight="1" x14ac:dyDescent="0.25">
      <c r="C346" s="94"/>
    </row>
    <row r="347" spans="3:3" ht="14.25" customHeight="1" x14ac:dyDescent="0.25">
      <c r="C347" s="94"/>
    </row>
    <row r="348" spans="3:3" ht="14.25" customHeight="1" x14ac:dyDescent="0.25">
      <c r="C348" s="94"/>
    </row>
    <row r="349" spans="3:3" ht="14.25" customHeight="1" x14ac:dyDescent="0.25">
      <c r="C349" s="94"/>
    </row>
    <row r="350" spans="3:3" ht="14.25" customHeight="1" x14ac:dyDescent="0.25">
      <c r="C350" s="94"/>
    </row>
    <row r="351" spans="3:3" ht="14.25" customHeight="1" x14ac:dyDescent="0.25">
      <c r="C351" s="94"/>
    </row>
    <row r="352" spans="3:3" ht="14.25" customHeight="1" x14ac:dyDescent="0.25">
      <c r="C352" s="94"/>
    </row>
    <row r="353" spans="3:3" ht="14.25" customHeight="1" x14ac:dyDescent="0.25">
      <c r="C353" s="94"/>
    </row>
    <row r="354" spans="3:3" ht="14.25" customHeight="1" x14ac:dyDescent="0.25">
      <c r="C354" s="94"/>
    </row>
    <row r="355" spans="3:3" ht="14.25" customHeight="1" x14ac:dyDescent="0.25">
      <c r="C355" s="94"/>
    </row>
    <row r="356" spans="3:3" ht="14.25" customHeight="1" x14ac:dyDescent="0.25">
      <c r="C356" s="94"/>
    </row>
    <row r="357" spans="3:3" ht="14.25" customHeight="1" x14ac:dyDescent="0.25">
      <c r="C357" s="94"/>
    </row>
    <row r="358" spans="3:3" ht="14.25" customHeight="1" x14ac:dyDescent="0.25">
      <c r="C358" s="94"/>
    </row>
    <row r="359" spans="3:3" ht="14.25" customHeight="1" x14ac:dyDescent="0.25">
      <c r="C359" s="94"/>
    </row>
    <row r="360" spans="3:3" ht="14.25" customHeight="1" x14ac:dyDescent="0.25">
      <c r="C360" s="94"/>
    </row>
    <row r="361" spans="3:3" ht="14.25" customHeight="1" x14ac:dyDescent="0.25">
      <c r="C361" s="94"/>
    </row>
    <row r="362" spans="3:3" ht="14.25" customHeight="1" x14ac:dyDescent="0.25">
      <c r="C362" s="94"/>
    </row>
    <row r="363" spans="3:3" ht="14.25" customHeight="1" x14ac:dyDescent="0.25">
      <c r="C363" s="94"/>
    </row>
    <row r="364" spans="3:3" ht="14.25" customHeight="1" x14ac:dyDescent="0.25">
      <c r="C364" s="94"/>
    </row>
    <row r="365" spans="3:3" ht="14.25" customHeight="1" x14ac:dyDescent="0.25">
      <c r="C365" s="94"/>
    </row>
    <row r="366" spans="3:3" ht="14.25" customHeight="1" x14ac:dyDescent="0.25">
      <c r="C366" s="94"/>
    </row>
    <row r="367" spans="3:3" ht="14.25" customHeight="1" x14ac:dyDescent="0.25">
      <c r="C367" s="94"/>
    </row>
    <row r="368" spans="3:3" ht="14.25" customHeight="1" x14ac:dyDescent="0.25">
      <c r="C368" s="94"/>
    </row>
    <row r="369" spans="3:3" ht="14.25" customHeight="1" x14ac:dyDescent="0.25">
      <c r="C369" s="94"/>
    </row>
    <row r="370" spans="3:3" ht="14.25" customHeight="1" x14ac:dyDescent="0.25">
      <c r="C370" s="94"/>
    </row>
    <row r="371" spans="3:3" ht="14.25" customHeight="1" x14ac:dyDescent="0.25">
      <c r="C371" s="94"/>
    </row>
    <row r="372" spans="3:3" ht="14.25" customHeight="1" x14ac:dyDescent="0.25">
      <c r="C372" s="94"/>
    </row>
    <row r="373" spans="3:3" ht="14.25" customHeight="1" x14ac:dyDescent="0.25">
      <c r="C373" s="94"/>
    </row>
    <row r="374" spans="3:3" ht="14.25" customHeight="1" x14ac:dyDescent="0.25">
      <c r="C374" s="94"/>
    </row>
    <row r="375" spans="3:3" ht="14.25" customHeight="1" x14ac:dyDescent="0.25">
      <c r="C375" s="94"/>
    </row>
    <row r="376" spans="3:3" ht="14.25" customHeight="1" x14ac:dyDescent="0.25">
      <c r="C376" s="94"/>
    </row>
    <row r="377" spans="3:3" ht="14.25" customHeight="1" x14ac:dyDescent="0.25">
      <c r="C377" s="94"/>
    </row>
    <row r="378" spans="3:3" ht="14.25" customHeight="1" x14ac:dyDescent="0.25">
      <c r="C378" s="94"/>
    </row>
    <row r="379" spans="3:3" ht="14.25" customHeight="1" x14ac:dyDescent="0.25">
      <c r="C379" s="94"/>
    </row>
    <row r="380" spans="3:3" ht="14.25" customHeight="1" x14ac:dyDescent="0.25">
      <c r="C380" s="94"/>
    </row>
    <row r="381" spans="3:3" ht="14.25" customHeight="1" x14ac:dyDescent="0.25">
      <c r="C381" s="94"/>
    </row>
    <row r="382" spans="3:3" ht="14.25" customHeight="1" x14ac:dyDescent="0.25">
      <c r="C382" s="94"/>
    </row>
    <row r="383" spans="3:3" ht="14.25" customHeight="1" x14ac:dyDescent="0.25">
      <c r="C383" s="94"/>
    </row>
    <row r="384" spans="3:3" ht="14.25" customHeight="1" x14ac:dyDescent="0.25">
      <c r="C384" s="94"/>
    </row>
    <row r="385" spans="3:3" ht="14.25" customHeight="1" x14ac:dyDescent="0.25">
      <c r="C385" s="94"/>
    </row>
    <row r="386" spans="3:3" ht="14.25" customHeight="1" x14ac:dyDescent="0.25">
      <c r="C386" s="94"/>
    </row>
    <row r="387" spans="3:3" ht="14.25" customHeight="1" x14ac:dyDescent="0.25">
      <c r="C387" s="94"/>
    </row>
    <row r="388" spans="3:3" ht="14.25" customHeight="1" x14ac:dyDescent="0.25">
      <c r="C388" s="94"/>
    </row>
    <row r="389" spans="3:3" ht="14.25" customHeight="1" x14ac:dyDescent="0.25">
      <c r="C389" s="94"/>
    </row>
    <row r="390" spans="3:3" ht="14.25" customHeight="1" x14ac:dyDescent="0.25">
      <c r="C390" s="94"/>
    </row>
    <row r="391" spans="3:3" ht="14.25" customHeight="1" x14ac:dyDescent="0.25">
      <c r="C391" s="94"/>
    </row>
    <row r="392" spans="3:3" ht="14.25" customHeight="1" x14ac:dyDescent="0.25">
      <c r="C392" s="94"/>
    </row>
    <row r="393" spans="3:3" ht="14.25" customHeight="1" x14ac:dyDescent="0.25">
      <c r="C393" s="94"/>
    </row>
    <row r="394" spans="3:3" ht="14.25" customHeight="1" x14ac:dyDescent="0.25">
      <c r="C394" s="94"/>
    </row>
    <row r="395" spans="3:3" ht="14.25" customHeight="1" x14ac:dyDescent="0.25">
      <c r="C395" s="94"/>
    </row>
    <row r="396" spans="3:3" ht="14.25" customHeight="1" x14ac:dyDescent="0.25">
      <c r="C396" s="94"/>
    </row>
    <row r="397" spans="3:3" ht="14.25" customHeight="1" x14ac:dyDescent="0.25">
      <c r="C397" s="94"/>
    </row>
    <row r="398" spans="3:3" ht="14.25" customHeight="1" x14ac:dyDescent="0.25">
      <c r="C398" s="94"/>
    </row>
    <row r="399" spans="3:3" ht="14.25" customHeight="1" x14ac:dyDescent="0.25">
      <c r="C399" s="94"/>
    </row>
    <row r="400" spans="3:3" ht="14.25" customHeight="1" x14ac:dyDescent="0.25">
      <c r="C400" s="94"/>
    </row>
    <row r="401" spans="3:3" ht="14.25" customHeight="1" x14ac:dyDescent="0.25">
      <c r="C401" s="94"/>
    </row>
    <row r="402" spans="3:3" ht="14.25" customHeight="1" x14ac:dyDescent="0.25">
      <c r="C402" s="94"/>
    </row>
    <row r="403" spans="3:3" ht="14.25" customHeight="1" x14ac:dyDescent="0.25">
      <c r="C403" s="94"/>
    </row>
    <row r="404" spans="3:3" ht="14.25" customHeight="1" x14ac:dyDescent="0.25">
      <c r="C404" s="94"/>
    </row>
    <row r="405" spans="3:3" ht="14.25" customHeight="1" x14ac:dyDescent="0.25">
      <c r="C405" s="94"/>
    </row>
    <row r="406" spans="3:3" ht="14.25" customHeight="1" x14ac:dyDescent="0.25">
      <c r="C406" s="94"/>
    </row>
    <row r="407" spans="3:3" ht="14.25" customHeight="1" x14ac:dyDescent="0.25">
      <c r="C407" s="94"/>
    </row>
    <row r="408" spans="3:3" ht="14.25" customHeight="1" x14ac:dyDescent="0.25">
      <c r="C408" s="94"/>
    </row>
    <row r="409" spans="3:3" ht="14.25" customHeight="1" x14ac:dyDescent="0.25">
      <c r="C409" s="94"/>
    </row>
    <row r="410" spans="3:3" ht="14.25" customHeight="1" x14ac:dyDescent="0.25">
      <c r="C410" s="94"/>
    </row>
    <row r="411" spans="3:3" ht="14.25" customHeight="1" x14ac:dyDescent="0.25">
      <c r="C411" s="94"/>
    </row>
    <row r="412" spans="3:3" ht="14.25" customHeight="1" x14ac:dyDescent="0.25">
      <c r="C412" s="94"/>
    </row>
    <row r="413" spans="3:3" ht="14.25" customHeight="1" x14ac:dyDescent="0.25">
      <c r="C413" s="94"/>
    </row>
    <row r="414" spans="3:3" ht="14.25" customHeight="1" x14ac:dyDescent="0.25">
      <c r="C414" s="94"/>
    </row>
    <row r="415" spans="3:3" ht="14.25" customHeight="1" x14ac:dyDescent="0.25">
      <c r="C415" s="94"/>
    </row>
    <row r="416" spans="3:3" ht="14.25" customHeight="1" x14ac:dyDescent="0.25">
      <c r="C416" s="94"/>
    </row>
    <row r="417" spans="3:3" ht="14.25" customHeight="1" x14ac:dyDescent="0.25">
      <c r="C417" s="94"/>
    </row>
    <row r="418" spans="3:3" ht="14.25" customHeight="1" x14ac:dyDescent="0.25">
      <c r="C418" s="94"/>
    </row>
    <row r="419" spans="3:3" ht="14.25" customHeight="1" x14ac:dyDescent="0.25">
      <c r="C419" s="94"/>
    </row>
    <row r="420" spans="3:3" ht="14.25" customHeight="1" x14ac:dyDescent="0.25">
      <c r="C420" s="94"/>
    </row>
    <row r="421" spans="3:3" ht="14.25" customHeight="1" x14ac:dyDescent="0.25">
      <c r="C421" s="94"/>
    </row>
    <row r="422" spans="3:3" ht="14.25" customHeight="1" x14ac:dyDescent="0.25">
      <c r="C422" s="94"/>
    </row>
    <row r="423" spans="3:3" ht="14.25" customHeight="1" x14ac:dyDescent="0.25">
      <c r="C423" s="94"/>
    </row>
    <row r="424" spans="3:3" ht="14.25" customHeight="1" x14ac:dyDescent="0.25">
      <c r="C424" s="94"/>
    </row>
    <row r="425" spans="3:3" ht="14.25" customHeight="1" x14ac:dyDescent="0.25">
      <c r="C425" s="94"/>
    </row>
    <row r="426" spans="3:3" ht="14.25" customHeight="1" x14ac:dyDescent="0.25">
      <c r="C426" s="94"/>
    </row>
    <row r="427" spans="3:3" ht="14.25" customHeight="1" x14ac:dyDescent="0.25">
      <c r="C427" s="94"/>
    </row>
    <row r="428" spans="3:3" ht="14.25" customHeight="1" x14ac:dyDescent="0.25">
      <c r="C428" s="94"/>
    </row>
    <row r="429" spans="3:3" ht="14.25" customHeight="1" x14ac:dyDescent="0.25">
      <c r="C429" s="94"/>
    </row>
    <row r="430" spans="3:3" ht="14.25" customHeight="1" x14ac:dyDescent="0.25">
      <c r="C430" s="94"/>
    </row>
    <row r="431" spans="3:3" ht="14.25" customHeight="1" x14ac:dyDescent="0.25">
      <c r="C431" s="94"/>
    </row>
    <row r="432" spans="3:3" ht="14.25" customHeight="1" x14ac:dyDescent="0.25">
      <c r="C432" s="94"/>
    </row>
    <row r="433" spans="3:3" ht="14.25" customHeight="1" x14ac:dyDescent="0.25">
      <c r="C433" s="94"/>
    </row>
    <row r="434" spans="3:3" ht="14.25" customHeight="1" x14ac:dyDescent="0.25">
      <c r="C434" s="94"/>
    </row>
    <row r="435" spans="3:3" ht="14.25" customHeight="1" x14ac:dyDescent="0.25">
      <c r="C435" s="94"/>
    </row>
    <row r="436" spans="3:3" ht="14.25" customHeight="1" x14ac:dyDescent="0.25">
      <c r="C436" s="94"/>
    </row>
    <row r="437" spans="3:3" ht="14.25" customHeight="1" x14ac:dyDescent="0.25">
      <c r="C437" s="94"/>
    </row>
    <row r="438" spans="3:3" ht="14.25" customHeight="1" x14ac:dyDescent="0.25">
      <c r="C438" s="94"/>
    </row>
    <row r="439" spans="3:3" ht="14.25" customHeight="1" x14ac:dyDescent="0.25">
      <c r="C439" s="94"/>
    </row>
    <row r="440" spans="3:3" ht="14.25" customHeight="1" x14ac:dyDescent="0.25">
      <c r="C440" s="94"/>
    </row>
    <row r="441" spans="3:3" ht="14.25" customHeight="1" x14ac:dyDescent="0.25">
      <c r="C441" s="94"/>
    </row>
    <row r="442" spans="3:3" ht="14.25" customHeight="1" x14ac:dyDescent="0.25">
      <c r="C442" s="94"/>
    </row>
    <row r="443" spans="3:3" ht="14.25" customHeight="1" x14ac:dyDescent="0.25">
      <c r="C443" s="94"/>
    </row>
    <row r="444" spans="3:3" ht="14.25" customHeight="1" x14ac:dyDescent="0.25">
      <c r="C444" s="94"/>
    </row>
    <row r="445" spans="3:3" ht="14.25" customHeight="1" x14ac:dyDescent="0.25">
      <c r="C445" s="94"/>
    </row>
    <row r="446" spans="3:3" ht="14.25" customHeight="1" x14ac:dyDescent="0.25">
      <c r="C446" s="94"/>
    </row>
    <row r="447" spans="3:3" ht="14.25" customHeight="1" x14ac:dyDescent="0.25">
      <c r="C447" s="94"/>
    </row>
    <row r="448" spans="3:3" ht="14.25" customHeight="1" x14ac:dyDescent="0.25">
      <c r="C448" s="94"/>
    </row>
    <row r="449" spans="3:3" ht="14.25" customHeight="1" x14ac:dyDescent="0.25">
      <c r="C449" s="94"/>
    </row>
    <row r="450" spans="3:3" ht="14.25" customHeight="1" x14ac:dyDescent="0.25">
      <c r="C450" s="94"/>
    </row>
    <row r="451" spans="3:3" ht="14.25" customHeight="1" x14ac:dyDescent="0.25">
      <c r="C451" s="94"/>
    </row>
    <row r="452" spans="3:3" ht="14.25" customHeight="1" x14ac:dyDescent="0.25">
      <c r="C452" s="94"/>
    </row>
    <row r="453" spans="3:3" ht="14.25" customHeight="1" x14ac:dyDescent="0.25">
      <c r="C453" s="94"/>
    </row>
    <row r="454" spans="3:3" ht="14.25" customHeight="1" x14ac:dyDescent="0.25">
      <c r="C454" s="94"/>
    </row>
    <row r="455" spans="3:3" ht="14.25" customHeight="1" x14ac:dyDescent="0.25">
      <c r="C455" s="94"/>
    </row>
    <row r="456" spans="3:3" ht="14.25" customHeight="1" x14ac:dyDescent="0.25">
      <c r="C456" s="94"/>
    </row>
    <row r="457" spans="3:3" ht="14.25" customHeight="1" x14ac:dyDescent="0.25">
      <c r="C457" s="94"/>
    </row>
    <row r="458" spans="3:3" ht="14.25" customHeight="1" x14ac:dyDescent="0.25">
      <c r="C458" s="94"/>
    </row>
    <row r="459" spans="3:3" ht="14.25" customHeight="1" x14ac:dyDescent="0.25">
      <c r="C459" s="94"/>
    </row>
    <row r="460" spans="3:3" ht="14.25" customHeight="1" x14ac:dyDescent="0.25">
      <c r="C460" s="94"/>
    </row>
    <row r="461" spans="3:3" ht="14.25" customHeight="1" x14ac:dyDescent="0.25">
      <c r="C461" s="94"/>
    </row>
    <row r="462" spans="3:3" ht="14.25" customHeight="1" x14ac:dyDescent="0.25">
      <c r="C462" s="94"/>
    </row>
    <row r="463" spans="3:3" ht="14.25" customHeight="1" x14ac:dyDescent="0.25">
      <c r="C463" s="94"/>
    </row>
    <row r="464" spans="3:3" ht="14.25" customHeight="1" x14ac:dyDescent="0.25">
      <c r="C464" s="94"/>
    </row>
    <row r="465" spans="3:3" ht="14.25" customHeight="1" x14ac:dyDescent="0.25">
      <c r="C465" s="94"/>
    </row>
    <row r="466" spans="3:3" ht="14.25" customHeight="1" x14ac:dyDescent="0.25">
      <c r="C466" s="94"/>
    </row>
    <row r="467" spans="3:3" ht="14.25" customHeight="1" x14ac:dyDescent="0.25">
      <c r="C467" s="94"/>
    </row>
    <row r="468" spans="3:3" ht="14.25" customHeight="1" x14ac:dyDescent="0.25">
      <c r="C468" s="94"/>
    </row>
    <row r="469" spans="3:3" ht="14.25" customHeight="1" x14ac:dyDescent="0.25">
      <c r="C469" s="94"/>
    </row>
    <row r="470" spans="3:3" ht="14.25" customHeight="1" x14ac:dyDescent="0.25">
      <c r="C470" s="94"/>
    </row>
    <row r="471" spans="3:3" ht="14.25" customHeight="1" x14ac:dyDescent="0.25">
      <c r="C471" s="94"/>
    </row>
    <row r="472" spans="3:3" ht="14.25" customHeight="1" x14ac:dyDescent="0.25">
      <c r="C472" s="94"/>
    </row>
    <row r="473" spans="3:3" ht="14.25" customHeight="1" x14ac:dyDescent="0.25">
      <c r="C473" s="94"/>
    </row>
    <row r="474" spans="3:3" ht="14.25" customHeight="1" x14ac:dyDescent="0.25">
      <c r="C474" s="94"/>
    </row>
    <row r="475" spans="3:3" ht="14.25" customHeight="1" x14ac:dyDescent="0.25">
      <c r="C475" s="94"/>
    </row>
    <row r="476" spans="3:3" ht="14.25" customHeight="1" x14ac:dyDescent="0.25">
      <c r="C476" s="94"/>
    </row>
    <row r="477" spans="3:3" ht="14.25" customHeight="1" x14ac:dyDescent="0.25">
      <c r="C477" s="94"/>
    </row>
    <row r="478" spans="3:3" ht="14.25" customHeight="1" x14ac:dyDescent="0.25">
      <c r="C478" s="94"/>
    </row>
    <row r="479" spans="3:3" ht="14.25" customHeight="1" x14ac:dyDescent="0.25">
      <c r="C479" s="94"/>
    </row>
    <row r="480" spans="3:3" ht="14.25" customHeight="1" x14ac:dyDescent="0.25">
      <c r="C480" s="94"/>
    </row>
    <row r="481" spans="3:3" ht="14.25" customHeight="1" x14ac:dyDescent="0.25">
      <c r="C481" s="94"/>
    </row>
    <row r="482" spans="3:3" ht="14.25" customHeight="1" x14ac:dyDescent="0.25">
      <c r="C482" s="94"/>
    </row>
    <row r="483" spans="3:3" ht="14.25" customHeight="1" x14ac:dyDescent="0.25">
      <c r="C483" s="94"/>
    </row>
    <row r="484" spans="3:3" ht="14.25" customHeight="1" x14ac:dyDescent="0.25">
      <c r="C484" s="94"/>
    </row>
    <row r="485" spans="3:3" ht="14.25" customHeight="1" x14ac:dyDescent="0.25">
      <c r="C485" s="94"/>
    </row>
    <row r="486" spans="3:3" ht="14.25" customHeight="1" x14ac:dyDescent="0.25">
      <c r="C486" s="94"/>
    </row>
    <row r="487" spans="3:3" ht="14.25" customHeight="1" x14ac:dyDescent="0.25">
      <c r="C487" s="94"/>
    </row>
    <row r="488" spans="3:3" ht="14.25" customHeight="1" x14ac:dyDescent="0.25">
      <c r="C488" s="94"/>
    </row>
    <row r="489" spans="3:3" ht="14.25" customHeight="1" x14ac:dyDescent="0.25">
      <c r="C489" s="94"/>
    </row>
    <row r="490" spans="3:3" ht="14.25" customHeight="1" x14ac:dyDescent="0.25">
      <c r="C490" s="94"/>
    </row>
    <row r="491" spans="3:3" ht="14.25" customHeight="1" x14ac:dyDescent="0.25">
      <c r="C491" s="94"/>
    </row>
    <row r="492" spans="3:3" ht="14.25" customHeight="1" x14ac:dyDescent="0.25">
      <c r="C492" s="94"/>
    </row>
    <row r="493" spans="3:3" ht="14.25" customHeight="1" x14ac:dyDescent="0.25">
      <c r="C493" s="94"/>
    </row>
    <row r="494" spans="3:3" ht="14.25" customHeight="1" x14ac:dyDescent="0.25">
      <c r="C494" s="94"/>
    </row>
    <row r="495" spans="3:3" ht="14.25" customHeight="1" x14ac:dyDescent="0.25">
      <c r="C495" s="94"/>
    </row>
    <row r="496" spans="3:3" ht="14.25" customHeight="1" x14ac:dyDescent="0.25">
      <c r="C496" s="94"/>
    </row>
    <row r="497" spans="3:3" ht="14.25" customHeight="1" x14ac:dyDescent="0.25">
      <c r="C497" s="94"/>
    </row>
    <row r="498" spans="3:3" ht="14.25" customHeight="1" x14ac:dyDescent="0.25">
      <c r="C498" s="94"/>
    </row>
    <row r="499" spans="3:3" ht="14.25" customHeight="1" x14ac:dyDescent="0.25">
      <c r="C499" s="94"/>
    </row>
    <row r="500" spans="3:3" ht="14.25" customHeight="1" x14ac:dyDescent="0.25">
      <c r="C500" s="94"/>
    </row>
    <row r="501" spans="3:3" ht="14.25" customHeight="1" x14ac:dyDescent="0.25">
      <c r="C501" s="94"/>
    </row>
    <row r="502" spans="3:3" ht="14.25" customHeight="1" x14ac:dyDescent="0.25">
      <c r="C502" s="94"/>
    </row>
    <row r="503" spans="3:3" ht="14.25" customHeight="1" x14ac:dyDescent="0.25">
      <c r="C503" s="94"/>
    </row>
    <row r="504" spans="3:3" ht="14.25" customHeight="1" x14ac:dyDescent="0.25">
      <c r="C504" s="94"/>
    </row>
    <row r="505" spans="3:3" ht="14.25" customHeight="1" x14ac:dyDescent="0.25">
      <c r="C505" s="94"/>
    </row>
    <row r="506" spans="3:3" ht="14.25" customHeight="1" x14ac:dyDescent="0.25">
      <c r="C506" s="94"/>
    </row>
    <row r="507" spans="3:3" ht="14.25" customHeight="1" x14ac:dyDescent="0.25">
      <c r="C507" s="94"/>
    </row>
    <row r="508" spans="3:3" ht="14.25" customHeight="1" x14ac:dyDescent="0.25">
      <c r="C508" s="94"/>
    </row>
    <row r="509" spans="3:3" ht="14.25" customHeight="1" x14ac:dyDescent="0.25">
      <c r="C509" s="94"/>
    </row>
    <row r="510" spans="3:3" ht="14.25" customHeight="1" x14ac:dyDescent="0.25">
      <c r="C510" s="94"/>
    </row>
    <row r="511" spans="3:3" ht="14.25" customHeight="1" x14ac:dyDescent="0.25">
      <c r="C511" s="94"/>
    </row>
    <row r="512" spans="3:3" ht="14.25" customHeight="1" x14ac:dyDescent="0.25">
      <c r="C512" s="94"/>
    </row>
    <row r="513" spans="3:3" ht="14.25" customHeight="1" x14ac:dyDescent="0.25">
      <c r="C513" s="94"/>
    </row>
    <row r="514" spans="3:3" ht="14.25" customHeight="1" x14ac:dyDescent="0.25">
      <c r="C514" s="94"/>
    </row>
    <row r="515" spans="3:3" ht="14.25" customHeight="1" x14ac:dyDescent="0.25">
      <c r="C515" s="94"/>
    </row>
    <row r="516" spans="3:3" ht="14.25" customHeight="1" x14ac:dyDescent="0.25">
      <c r="C516" s="94"/>
    </row>
    <row r="517" spans="3:3" ht="14.25" customHeight="1" x14ac:dyDescent="0.25">
      <c r="C517" s="94"/>
    </row>
    <row r="518" spans="3:3" ht="14.25" customHeight="1" x14ac:dyDescent="0.25">
      <c r="C518" s="94"/>
    </row>
    <row r="519" spans="3:3" ht="14.25" customHeight="1" x14ac:dyDescent="0.25">
      <c r="C519" s="94"/>
    </row>
    <row r="520" spans="3:3" ht="14.25" customHeight="1" x14ac:dyDescent="0.25">
      <c r="C520" s="94"/>
    </row>
    <row r="521" spans="3:3" ht="14.25" customHeight="1" x14ac:dyDescent="0.25">
      <c r="C521" s="94"/>
    </row>
    <row r="522" spans="3:3" ht="14.25" customHeight="1" x14ac:dyDescent="0.25">
      <c r="C522" s="94"/>
    </row>
    <row r="523" spans="3:3" ht="14.25" customHeight="1" x14ac:dyDescent="0.25">
      <c r="C523" s="94"/>
    </row>
    <row r="524" spans="3:3" ht="14.25" customHeight="1" x14ac:dyDescent="0.25">
      <c r="C524" s="94"/>
    </row>
    <row r="525" spans="3:3" ht="14.25" customHeight="1" x14ac:dyDescent="0.25">
      <c r="C525" s="94"/>
    </row>
    <row r="526" spans="3:3" ht="14.25" customHeight="1" x14ac:dyDescent="0.25">
      <c r="C526" s="94"/>
    </row>
    <row r="527" spans="3:3" ht="14.25" customHeight="1" x14ac:dyDescent="0.25">
      <c r="C527" s="94"/>
    </row>
    <row r="528" spans="3:3" ht="14.25" customHeight="1" x14ac:dyDescent="0.25">
      <c r="C528" s="94"/>
    </row>
    <row r="529" spans="3:3" ht="14.25" customHeight="1" x14ac:dyDescent="0.25">
      <c r="C529" s="94"/>
    </row>
    <row r="530" spans="3:3" ht="14.25" customHeight="1" x14ac:dyDescent="0.25">
      <c r="C530" s="94"/>
    </row>
    <row r="531" spans="3:3" ht="14.25" customHeight="1" x14ac:dyDescent="0.25">
      <c r="C531" s="94"/>
    </row>
    <row r="532" spans="3:3" ht="14.25" customHeight="1" x14ac:dyDescent="0.25">
      <c r="C532" s="94"/>
    </row>
    <row r="533" spans="3:3" ht="14.25" customHeight="1" x14ac:dyDescent="0.25">
      <c r="C533" s="94"/>
    </row>
    <row r="534" spans="3:3" ht="14.25" customHeight="1" x14ac:dyDescent="0.25">
      <c r="C534" s="94"/>
    </row>
    <row r="535" spans="3:3" ht="14.25" customHeight="1" x14ac:dyDescent="0.25">
      <c r="C535" s="94"/>
    </row>
    <row r="536" spans="3:3" ht="14.25" customHeight="1" x14ac:dyDescent="0.25">
      <c r="C536" s="94"/>
    </row>
    <row r="537" spans="3:3" ht="14.25" customHeight="1" x14ac:dyDescent="0.25">
      <c r="C537" s="94"/>
    </row>
    <row r="538" spans="3:3" ht="14.25" customHeight="1" x14ac:dyDescent="0.25">
      <c r="C538" s="94"/>
    </row>
    <row r="539" spans="3:3" ht="14.25" customHeight="1" x14ac:dyDescent="0.25">
      <c r="C539" s="94"/>
    </row>
    <row r="540" spans="3:3" ht="14.25" customHeight="1" x14ac:dyDescent="0.25">
      <c r="C540" s="94"/>
    </row>
    <row r="541" spans="3:3" ht="14.25" customHeight="1" x14ac:dyDescent="0.25">
      <c r="C541" s="94"/>
    </row>
    <row r="542" spans="3:3" ht="14.25" customHeight="1" x14ac:dyDescent="0.25">
      <c r="C542" s="94"/>
    </row>
    <row r="543" spans="3:3" ht="14.25" customHeight="1" x14ac:dyDescent="0.25">
      <c r="C543" s="94"/>
    </row>
    <row r="544" spans="3:3" ht="14.25" customHeight="1" x14ac:dyDescent="0.25">
      <c r="C544" s="94"/>
    </row>
    <row r="545" spans="3:3" ht="14.25" customHeight="1" x14ac:dyDescent="0.25">
      <c r="C545" s="94"/>
    </row>
    <row r="546" spans="3:3" ht="14.25" customHeight="1" x14ac:dyDescent="0.25">
      <c r="C546" s="94"/>
    </row>
    <row r="547" spans="3:3" ht="14.25" customHeight="1" x14ac:dyDescent="0.25">
      <c r="C547" s="94"/>
    </row>
    <row r="548" spans="3:3" ht="14.25" customHeight="1" x14ac:dyDescent="0.25">
      <c r="C548" s="94"/>
    </row>
    <row r="549" spans="3:3" ht="14.25" customHeight="1" x14ac:dyDescent="0.25">
      <c r="C549" s="94"/>
    </row>
    <row r="550" spans="3:3" ht="14.25" customHeight="1" x14ac:dyDescent="0.25">
      <c r="C550" s="94"/>
    </row>
    <row r="551" spans="3:3" ht="14.25" customHeight="1" x14ac:dyDescent="0.25">
      <c r="C551" s="94"/>
    </row>
    <row r="552" spans="3:3" ht="14.25" customHeight="1" x14ac:dyDescent="0.25">
      <c r="C552" s="94"/>
    </row>
    <row r="553" spans="3:3" ht="14.25" customHeight="1" x14ac:dyDescent="0.25">
      <c r="C553" s="94"/>
    </row>
    <row r="554" spans="3:3" ht="14.25" customHeight="1" x14ac:dyDescent="0.25">
      <c r="C554" s="94"/>
    </row>
    <row r="555" spans="3:3" ht="14.25" customHeight="1" x14ac:dyDescent="0.25">
      <c r="C555" s="94"/>
    </row>
    <row r="556" spans="3:3" ht="14.25" customHeight="1" x14ac:dyDescent="0.25">
      <c r="C556" s="94"/>
    </row>
    <row r="557" spans="3:3" ht="14.25" customHeight="1" x14ac:dyDescent="0.25">
      <c r="C557" s="94"/>
    </row>
    <row r="558" spans="3:3" ht="14.25" customHeight="1" x14ac:dyDescent="0.25">
      <c r="C558" s="94"/>
    </row>
    <row r="559" spans="3:3" ht="14.25" customHeight="1" x14ac:dyDescent="0.25">
      <c r="C559" s="94"/>
    </row>
    <row r="560" spans="3:3" ht="14.25" customHeight="1" x14ac:dyDescent="0.25">
      <c r="C560" s="94"/>
    </row>
    <row r="561" spans="3:3" ht="14.25" customHeight="1" x14ac:dyDescent="0.25">
      <c r="C561" s="94"/>
    </row>
    <row r="562" spans="3:3" ht="14.25" customHeight="1" x14ac:dyDescent="0.25">
      <c r="C562" s="94"/>
    </row>
    <row r="563" spans="3:3" ht="14.25" customHeight="1" x14ac:dyDescent="0.25">
      <c r="C563" s="94"/>
    </row>
    <row r="564" spans="3:3" ht="14.25" customHeight="1" x14ac:dyDescent="0.25">
      <c r="C564" s="94"/>
    </row>
    <row r="565" spans="3:3" ht="14.25" customHeight="1" x14ac:dyDescent="0.25">
      <c r="C565" s="94"/>
    </row>
    <row r="566" spans="3:3" ht="14.25" customHeight="1" x14ac:dyDescent="0.25">
      <c r="C566" s="94"/>
    </row>
    <row r="567" spans="3:3" ht="14.25" customHeight="1" x14ac:dyDescent="0.25">
      <c r="C567" s="94"/>
    </row>
    <row r="568" spans="3:3" ht="14.25" customHeight="1" x14ac:dyDescent="0.25">
      <c r="C568" s="94"/>
    </row>
    <row r="569" spans="3:3" ht="14.25" customHeight="1" x14ac:dyDescent="0.25">
      <c r="C569" s="94"/>
    </row>
    <row r="570" spans="3:3" ht="14.25" customHeight="1" x14ac:dyDescent="0.25">
      <c r="C570" s="94"/>
    </row>
    <row r="571" spans="3:3" ht="14.25" customHeight="1" x14ac:dyDescent="0.25">
      <c r="C571" s="94"/>
    </row>
    <row r="572" spans="3:3" ht="14.25" customHeight="1" x14ac:dyDescent="0.25">
      <c r="C572" s="94"/>
    </row>
    <row r="573" spans="3:3" ht="14.25" customHeight="1" x14ac:dyDescent="0.25">
      <c r="C573" s="94"/>
    </row>
    <row r="574" spans="3:3" ht="14.25" customHeight="1" x14ac:dyDescent="0.25">
      <c r="C574" s="94"/>
    </row>
    <row r="575" spans="3:3" ht="14.25" customHeight="1" x14ac:dyDescent="0.25">
      <c r="C575" s="94"/>
    </row>
    <row r="576" spans="3:3" ht="14.25" customHeight="1" x14ac:dyDescent="0.25">
      <c r="C576" s="94"/>
    </row>
    <row r="577" spans="3:3" ht="14.25" customHeight="1" x14ac:dyDescent="0.25">
      <c r="C577" s="94"/>
    </row>
    <row r="578" spans="3:3" ht="14.25" customHeight="1" x14ac:dyDescent="0.25">
      <c r="C578" s="94"/>
    </row>
    <row r="579" spans="3:3" ht="14.25" customHeight="1" x14ac:dyDescent="0.25">
      <c r="C579" s="94"/>
    </row>
    <row r="580" spans="3:3" ht="14.25" customHeight="1" x14ac:dyDescent="0.25">
      <c r="C580" s="94"/>
    </row>
    <row r="581" spans="3:3" ht="14.25" customHeight="1" x14ac:dyDescent="0.25">
      <c r="C581" s="94"/>
    </row>
    <row r="582" spans="3:3" ht="14.25" customHeight="1" x14ac:dyDescent="0.25">
      <c r="C582" s="94"/>
    </row>
    <row r="583" spans="3:3" ht="14.25" customHeight="1" x14ac:dyDescent="0.25">
      <c r="C583" s="94"/>
    </row>
    <row r="584" spans="3:3" ht="14.25" customHeight="1" x14ac:dyDescent="0.25">
      <c r="C584" s="94"/>
    </row>
    <row r="585" spans="3:3" ht="14.25" customHeight="1" x14ac:dyDescent="0.25">
      <c r="C585" s="94"/>
    </row>
    <row r="586" spans="3:3" ht="14.25" customHeight="1" x14ac:dyDescent="0.25">
      <c r="C586" s="94"/>
    </row>
    <row r="587" spans="3:3" ht="14.25" customHeight="1" x14ac:dyDescent="0.25">
      <c r="C587" s="94"/>
    </row>
    <row r="588" spans="3:3" ht="14.25" customHeight="1" x14ac:dyDescent="0.25">
      <c r="C588" s="94"/>
    </row>
    <row r="589" spans="3:3" ht="14.25" customHeight="1" x14ac:dyDescent="0.25">
      <c r="C589" s="94"/>
    </row>
    <row r="590" spans="3:3" ht="14.25" customHeight="1" x14ac:dyDescent="0.25">
      <c r="C590" s="94"/>
    </row>
    <row r="591" spans="3:3" ht="14.25" customHeight="1" x14ac:dyDescent="0.25">
      <c r="C591" s="94"/>
    </row>
    <row r="592" spans="3:3" ht="14.25" customHeight="1" x14ac:dyDescent="0.25">
      <c r="C592" s="94"/>
    </row>
    <row r="593" spans="3:3" ht="14.25" customHeight="1" x14ac:dyDescent="0.25">
      <c r="C593" s="94"/>
    </row>
    <row r="594" spans="3:3" ht="14.25" customHeight="1" x14ac:dyDescent="0.25">
      <c r="C594" s="94"/>
    </row>
    <row r="595" spans="3:3" ht="14.25" customHeight="1" x14ac:dyDescent="0.25">
      <c r="C595" s="94"/>
    </row>
    <row r="596" spans="3:3" ht="14.25" customHeight="1" x14ac:dyDescent="0.25">
      <c r="C596" s="94"/>
    </row>
    <row r="597" spans="3:3" ht="14.25" customHeight="1" x14ac:dyDescent="0.25">
      <c r="C597" s="94"/>
    </row>
    <row r="598" spans="3:3" ht="14.25" customHeight="1" x14ac:dyDescent="0.25">
      <c r="C598" s="94"/>
    </row>
    <row r="599" spans="3:3" ht="14.25" customHeight="1" x14ac:dyDescent="0.25">
      <c r="C599" s="94"/>
    </row>
    <row r="600" spans="3:3" ht="14.25" customHeight="1" x14ac:dyDescent="0.25">
      <c r="C600" s="94"/>
    </row>
    <row r="601" spans="3:3" ht="14.25" customHeight="1" x14ac:dyDescent="0.25">
      <c r="C601" s="94"/>
    </row>
    <row r="602" spans="3:3" ht="14.25" customHeight="1" x14ac:dyDescent="0.25">
      <c r="C602" s="94"/>
    </row>
    <row r="603" spans="3:3" ht="14.25" customHeight="1" x14ac:dyDescent="0.25">
      <c r="C603" s="94"/>
    </row>
    <row r="604" spans="3:3" ht="14.25" customHeight="1" x14ac:dyDescent="0.25">
      <c r="C604" s="94"/>
    </row>
    <row r="605" spans="3:3" ht="14.25" customHeight="1" x14ac:dyDescent="0.25">
      <c r="C605" s="94"/>
    </row>
    <row r="606" spans="3:3" ht="14.25" customHeight="1" x14ac:dyDescent="0.25">
      <c r="C606" s="94"/>
    </row>
    <row r="607" spans="3:3" ht="14.25" customHeight="1" x14ac:dyDescent="0.25">
      <c r="C607" s="94"/>
    </row>
    <row r="608" spans="3:3" ht="14.25" customHeight="1" x14ac:dyDescent="0.25">
      <c r="C608" s="94"/>
    </row>
    <row r="609" spans="3:3" ht="14.25" customHeight="1" x14ac:dyDescent="0.25">
      <c r="C609" s="94"/>
    </row>
    <row r="610" spans="3:3" ht="14.25" customHeight="1" x14ac:dyDescent="0.25">
      <c r="C610" s="94"/>
    </row>
    <row r="611" spans="3:3" ht="14.25" customHeight="1" x14ac:dyDescent="0.25">
      <c r="C611" s="94"/>
    </row>
    <row r="612" spans="3:3" ht="14.25" customHeight="1" x14ac:dyDescent="0.25">
      <c r="C612" s="94"/>
    </row>
    <row r="613" spans="3:3" ht="14.25" customHeight="1" x14ac:dyDescent="0.25">
      <c r="C613" s="94"/>
    </row>
    <row r="614" spans="3:3" ht="14.25" customHeight="1" x14ac:dyDescent="0.25">
      <c r="C614" s="94"/>
    </row>
    <row r="615" spans="3:3" ht="14.25" customHeight="1" x14ac:dyDescent="0.25">
      <c r="C615" s="94"/>
    </row>
    <row r="616" spans="3:3" ht="14.25" customHeight="1" x14ac:dyDescent="0.25">
      <c r="C616" s="94"/>
    </row>
    <row r="617" spans="3:3" ht="14.25" customHeight="1" x14ac:dyDescent="0.25">
      <c r="C617" s="94"/>
    </row>
    <row r="618" spans="3:3" ht="14.25" customHeight="1" x14ac:dyDescent="0.25">
      <c r="C618" s="94"/>
    </row>
    <row r="619" spans="3:3" ht="14.25" customHeight="1" x14ac:dyDescent="0.25">
      <c r="C619" s="94"/>
    </row>
    <row r="620" spans="3:3" ht="14.25" customHeight="1" x14ac:dyDescent="0.25">
      <c r="C620" s="94"/>
    </row>
    <row r="621" spans="3:3" ht="14.25" customHeight="1" x14ac:dyDescent="0.25">
      <c r="C621" s="94"/>
    </row>
    <row r="622" spans="3:3" ht="14.25" customHeight="1" x14ac:dyDescent="0.25">
      <c r="C622" s="94"/>
    </row>
    <row r="623" spans="3:3" ht="14.25" customHeight="1" x14ac:dyDescent="0.25">
      <c r="C623" s="94"/>
    </row>
    <row r="624" spans="3:3" ht="14.25" customHeight="1" x14ac:dyDescent="0.25">
      <c r="C624" s="94"/>
    </row>
    <row r="625" spans="3:3" ht="14.25" customHeight="1" x14ac:dyDescent="0.25">
      <c r="C625" s="94"/>
    </row>
    <row r="626" spans="3:3" ht="14.25" customHeight="1" x14ac:dyDescent="0.25">
      <c r="C626" s="94"/>
    </row>
    <row r="627" spans="3:3" ht="14.25" customHeight="1" x14ac:dyDescent="0.25">
      <c r="C627" s="94"/>
    </row>
    <row r="628" spans="3:3" ht="14.25" customHeight="1" x14ac:dyDescent="0.25">
      <c r="C628" s="94"/>
    </row>
    <row r="629" spans="3:3" ht="14.25" customHeight="1" x14ac:dyDescent="0.25">
      <c r="C629" s="94"/>
    </row>
    <row r="630" spans="3:3" ht="14.25" customHeight="1" x14ac:dyDescent="0.25">
      <c r="C630" s="94"/>
    </row>
    <row r="631" spans="3:3" ht="14.25" customHeight="1" x14ac:dyDescent="0.25">
      <c r="C631" s="94"/>
    </row>
    <row r="632" spans="3:3" ht="14.25" customHeight="1" x14ac:dyDescent="0.25">
      <c r="C632" s="94"/>
    </row>
    <row r="633" spans="3:3" ht="14.25" customHeight="1" x14ac:dyDescent="0.25">
      <c r="C633" s="94"/>
    </row>
    <row r="634" spans="3:3" ht="14.25" customHeight="1" x14ac:dyDescent="0.25">
      <c r="C634" s="94"/>
    </row>
    <row r="635" spans="3:3" ht="14.25" customHeight="1" x14ac:dyDescent="0.25">
      <c r="C635" s="94"/>
    </row>
    <row r="636" spans="3:3" ht="14.25" customHeight="1" x14ac:dyDescent="0.25">
      <c r="C636" s="94"/>
    </row>
    <row r="637" spans="3:3" ht="14.25" customHeight="1" x14ac:dyDescent="0.25">
      <c r="C637" s="94"/>
    </row>
    <row r="638" spans="3:3" ht="14.25" customHeight="1" x14ac:dyDescent="0.25">
      <c r="C638" s="94"/>
    </row>
    <row r="639" spans="3:3" ht="14.25" customHeight="1" x14ac:dyDescent="0.25">
      <c r="C639" s="94"/>
    </row>
    <row r="640" spans="3:3" ht="14.25" customHeight="1" x14ac:dyDescent="0.25">
      <c r="C640" s="94"/>
    </row>
    <row r="641" spans="3:3" ht="14.25" customHeight="1" x14ac:dyDescent="0.25">
      <c r="C641" s="94"/>
    </row>
    <row r="642" spans="3:3" ht="14.25" customHeight="1" x14ac:dyDescent="0.25">
      <c r="C642" s="94"/>
    </row>
    <row r="643" spans="3:3" ht="14.25" customHeight="1" x14ac:dyDescent="0.25">
      <c r="C643" s="94"/>
    </row>
    <row r="644" spans="3:3" ht="14.25" customHeight="1" x14ac:dyDescent="0.25">
      <c r="C644" s="94"/>
    </row>
    <row r="645" spans="3:3" ht="14.25" customHeight="1" x14ac:dyDescent="0.25">
      <c r="C645" s="94"/>
    </row>
    <row r="646" spans="3:3" ht="14.25" customHeight="1" x14ac:dyDescent="0.25">
      <c r="C646" s="94"/>
    </row>
    <row r="647" spans="3:3" ht="14.25" customHeight="1" x14ac:dyDescent="0.25">
      <c r="C647" s="94"/>
    </row>
    <row r="648" spans="3:3" ht="14.25" customHeight="1" x14ac:dyDescent="0.25">
      <c r="C648" s="94"/>
    </row>
    <row r="649" spans="3:3" ht="14.25" customHeight="1" x14ac:dyDescent="0.25">
      <c r="C649" s="94"/>
    </row>
    <row r="650" spans="3:3" ht="14.25" customHeight="1" x14ac:dyDescent="0.25">
      <c r="C650" s="94"/>
    </row>
    <row r="651" spans="3:3" ht="14.25" customHeight="1" x14ac:dyDescent="0.25">
      <c r="C651" s="94"/>
    </row>
    <row r="652" spans="3:3" ht="14.25" customHeight="1" x14ac:dyDescent="0.25">
      <c r="C652" s="94"/>
    </row>
    <row r="653" spans="3:3" ht="14.25" customHeight="1" x14ac:dyDescent="0.25">
      <c r="C653" s="94"/>
    </row>
    <row r="654" spans="3:3" ht="14.25" customHeight="1" x14ac:dyDescent="0.25">
      <c r="C654" s="94"/>
    </row>
    <row r="655" spans="3:3" ht="14.25" customHeight="1" x14ac:dyDescent="0.25">
      <c r="C655" s="94"/>
    </row>
    <row r="656" spans="3:3" ht="14.25" customHeight="1" x14ac:dyDescent="0.25">
      <c r="C656" s="94"/>
    </row>
    <row r="657" spans="3:3" ht="14.25" customHeight="1" x14ac:dyDescent="0.25">
      <c r="C657" s="94"/>
    </row>
    <row r="658" spans="3:3" ht="14.25" customHeight="1" x14ac:dyDescent="0.25">
      <c r="C658" s="94"/>
    </row>
    <row r="659" spans="3:3" ht="14.25" customHeight="1" x14ac:dyDescent="0.25">
      <c r="C659" s="94"/>
    </row>
    <row r="660" spans="3:3" ht="14.25" customHeight="1" x14ac:dyDescent="0.25">
      <c r="C660" s="94"/>
    </row>
    <row r="661" spans="3:3" ht="14.25" customHeight="1" x14ac:dyDescent="0.25">
      <c r="C661" s="94"/>
    </row>
    <row r="662" spans="3:3" ht="14.25" customHeight="1" x14ac:dyDescent="0.25">
      <c r="C662" s="94"/>
    </row>
    <row r="663" spans="3:3" ht="14.25" customHeight="1" x14ac:dyDescent="0.25">
      <c r="C663" s="94"/>
    </row>
    <row r="664" spans="3:3" ht="14.25" customHeight="1" x14ac:dyDescent="0.25">
      <c r="C664" s="94"/>
    </row>
    <row r="665" spans="3:3" ht="14.25" customHeight="1" x14ac:dyDescent="0.25">
      <c r="C665" s="94"/>
    </row>
    <row r="666" spans="3:3" ht="14.25" customHeight="1" x14ac:dyDescent="0.25">
      <c r="C666" s="94"/>
    </row>
    <row r="667" spans="3:3" ht="14.25" customHeight="1" x14ac:dyDescent="0.25">
      <c r="C667" s="94"/>
    </row>
    <row r="668" spans="3:3" ht="14.25" customHeight="1" x14ac:dyDescent="0.25">
      <c r="C668" s="94"/>
    </row>
    <row r="669" spans="3:3" ht="14.25" customHeight="1" x14ac:dyDescent="0.25">
      <c r="C669" s="94"/>
    </row>
    <row r="670" spans="3:3" ht="14.25" customHeight="1" x14ac:dyDescent="0.25">
      <c r="C670" s="94"/>
    </row>
    <row r="671" spans="3:3" ht="14.25" customHeight="1" x14ac:dyDescent="0.25">
      <c r="C671" s="94"/>
    </row>
    <row r="672" spans="3:3" ht="14.25" customHeight="1" x14ac:dyDescent="0.25">
      <c r="C672" s="94"/>
    </row>
    <row r="673" spans="3:3" ht="14.25" customHeight="1" x14ac:dyDescent="0.25">
      <c r="C673" s="94"/>
    </row>
    <row r="674" spans="3:3" ht="14.25" customHeight="1" x14ac:dyDescent="0.25">
      <c r="C674" s="94"/>
    </row>
    <row r="675" spans="3:3" ht="14.25" customHeight="1" x14ac:dyDescent="0.25">
      <c r="C675" s="94"/>
    </row>
    <row r="676" spans="3:3" ht="14.25" customHeight="1" x14ac:dyDescent="0.25">
      <c r="C676" s="94"/>
    </row>
    <row r="677" spans="3:3" ht="14.25" customHeight="1" x14ac:dyDescent="0.25">
      <c r="C677" s="94"/>
    </row>
    <row r="678" spans="3:3" ht="14.25" customHeight="1" x14ac:dyDescent="0.25">
      <c r="C678" s="94"/>
    </row>
    <row r="679" spans="3:3" ht="14.25" customHeight="1" x14ac:dyDescent="0.25">
      <c r="C679" s="94"/>
    </row>
    <row r="680" spans="3:3" ht="14.25" customHeight="1" x14ac:dyDescent="0.25">
      <c r="C680" s="94"/>
    </row>
    <row r="681" spans="3:3" ht="14.25" customHeight="1" x14ac:dyDescent="0.25">
      <c r="C681" s="94"/>
    </row>
    <row r="682" spans="3:3" ht="14.25" customHeight="1" x14ac:dyDescent="0.25">
      <c r="C682" s="94"/>
    </row>
    <row r="683" spans="3:3" ht="14.25" customHeight="1" x14ac:dyDescent="0.25">
      <c r="C683" s="94"/>
    </row>
    <row r="684" spans="3:3" ht="14.25" customHeight="1" x14ac:dyDescent="0.25">
      <c r="C684" s="94"/>
    </row>
    <row r="685" spans="3:3" ht="14.25" customHeight="1" x14ac:dyDescent="0.25">
      <c r="C685" s="94"/>
    </row>
    <row r="686" spans="3:3" ht="14.25" customHeight="1" x14ac:dyDescent="0.25">
      <c r="C686" s="94"/>
    </row>
    <row r="687" spans="3:3" ht="14.25" customHeight="1" x14ac:dyDescent="0.25">
      <c r="C687" s="94"/>
    </row>
    <row r="688" spans="3:3" ht="14.25" customHeight="1" x14ac:dyDescent="0.25">
      <c r="C688" s="94"/>
    </row>
    <row r="689" spans="3:3" ht="14.25" customHeight="1" x14ac:dyDescent="0.25">
      <c r="C689" s="94"/>
    </row>
    <row r="690" spans="3:3" ht="14.25" customHeight="1" x14ac:dyDescent="0.25">
      <c r="C690" s="94"/>
    </row>
    <row r="691" spans="3:3" ht="14.25" customHeight="1" x14ac:dyDescent="0.25">
      <c r="C691" s="94"/>
    </row>
    <row r="692" spans="3:3" ht="14.25" customHeight="1" x14ac:dyDescent="0.25">
      <c r="C692" s="94"/>
    </row>
    <row r="693" spans="3:3" ht="14.25" customHeight="1" x14ac:dyDescent="0.25">
      <c r="C693" s="94"/>
    </row>
    <row r="694" spans="3:3" ht="14.25" customHeight="1" x14ac:dyDescent="0.25">
      <c r="C694" s="94"/>
    </row>
    <row r="695" spans="3:3" ht="14.25" customHeight="1" x14ac:dyDescent="0.25">
      <c r="C695" s="94"/>
    </row>
    <row r="696" spans="3:3" ht="14.25" customHeight="1" x14ac:dyDescent="0.25">
      <c r="C696" s="94"/>
    </row>
    <row r="697" spans="3:3" ht="14.25" customHeight="1" x14ac:dyDescent="0.25">
      <c r="C697" s="94"/>
    </row>
    <row r="698" spans="3:3" ht="14.25" customHeight="1" x14ac:dyDescent="0.25">
      <c r="C698" s="94"/>
    </row>
    <row r="699" spans="3:3" ht="14.25" customHeight="1" x14ac:dyDescent="0.25">
      <c r="C699" s="94"/>
    </row>
    <row r="700" spans="3:3" ht="14.25" customHeight="1" x14ac:dyDescent="0.25">
      <c r="C700" s="94"/>
    </row>
    <row r="701" spans="3:3" ht="14.25" customHeight="1" x14ac:dyDescent="0.25">
      <c r="C701" s="94"/>
    </row>
    <row r="702" spans="3:3" ht="14.25" customHeight="1" x14ac:dyDescent="0.25">
      <c r="C702" s="94"/>
    </row>
    <row r="703" spans="3:3" ht="14.25" customHeight="1" x14ac:dyDescent="0.25">
      <c r="C703" s="94"/>
    </row>
    <row r="704" spans="3:3" ht="14.25" customHeight="1" x14ac:dyDescent="0.25">
      <c r="C704" s="94"/>
    </row>
    <row r="705" spans="3:3" ht="14.25" customHeight="1" x14ac:dyDescent="0.25">
      <c r="C705" s="94"/>
    </row>
    <row r="706" spans="3:3" ht="14.25" customHeight="1" x14ac:dyDescent="0.25">
      <c r="C706" s="94"/>
    </row>
    <row r="707" spans="3:3" ht="14.25" customHeight="1" x14ac:dyDescent="0.25">
      <c r="C707" s="94"/>
    </row>
    <row r="708" spans="3:3" ht="14.25" customHeight="1" x14ac:dyDescent="0.25">
      <c r="C708" s="94"/>
    </row>
    <row r="709" spans="3:3" ht="14.25" customHeight="1" x14ac:dyDescent="0.25">
      <c r="C709" s="94"/>
    </row>
    <row r="710" spans="3:3" ht="14.25" customHeight="1" x14ac:dyDescent="0.25">
      <c r="C710" s="94"/>
    </row>
    <row r="711" spans="3:3" ht="14.25" customHeight="1" x14ac:dyDescent="0.25">
      <c r="C711" s="94"/>
    </row>
    <row r="712" spans="3:3" ht="14.25" customHeight="1" x14ac:dyDescent="0.25">
      <c r="C712" s="94"/>
    </row>
    <row r="713" spans="3:3" ht="14.25" customHeight="1" x14ac:dyDescent="0.25">
      <c r="C713" s="94"/>
    </row>
    <row r="714" spans="3:3" ht="14.25" customHeight="1" x14ac:dyDescent="0.25">
      <c r="C714" s="94"/>
    </row>
    <row r="715" spans="3:3" ht="14.25" customHeight="1" x14ac:dyDescent="0.25">
      <c r="C715" s="94"/>
    </row>
    <row r="716" spans="3:3" ht="14.25" customHeight="1" x14ac:dyDescent="0.25">
      <c r="C716" s="94"/>
    </row>
    <row r="717" spans="3:3" ht="14.25" customHeight="1" x14ac:dyDescent="0.25">
      <c r="C717" s="94"/>
    </row>
    <row r="718" spans="3:3" ht="14.25" customHeight="1" x14ac:dyDescent="0.25">
      <c r="C718" s="94"/>
    </row>
    <row r="719" spans="3:3" ht="14.25" customHeight="1" x14ac:dyDescent="0.25">
      <c r="C719" s="94"/>
    </row>
    <row r="720" spans="3:3" ht="14.25" customHeight="1" x14ac:dyDescent="0.25">
      <c r="C720" s="94"/>
    </row>
    <row r="721" spans="3:3" ht="14.25" customHeight="1" x14ac:dyDescent="0.25">
      <c r="C721" s="94"/>
    </row>
    <row r="722" spans="3:3" ht="14.25" customHeight="1" x14ac:dyDescent="0.25">
      <c r="C722" s="94"/>
    </row>
    <row r="723" spans="3:3" ht="14.25" customHeight="1" x14ac:dyDescent="0.25">
      <c r="C723" s="94"/>
    </row>
    <row r="724" spans="3:3" ht="14.25" customHeight="1" x14ac:dyDescent="0.25">
      <c r="C724" s="94"/>
    </row>
    <row r="725" spans="3:3" ht="14.25" customHeight="1" x14ac:dyDescent="0.25">
      <c r="C725" s="94"/>
    </row>
    <row r="726" spans="3:3" ht="14.25" customHeight="1" x14ac:dyDescent="0.25">
      <c r="C726" s="94"/>
    </row>
    <row r="727" spans="3:3" ht="14.25" customHeight="1" x14ac:dyDescent="0.25">
      <c r="C727" s="94"/>
    </row>
    <row r="728" spans="3:3" ht="14.25" customHeight="1" x14ac:dyDescent="0.25">
      <c r="C728" s="94"/>
    </row>
    <row r="729" spans="3:3" ht="14.25" customHeight="1" x14ac:dyDescent="0.25">
      <c r="C729" s="94"/>
    </row>
    <row r="730" spans="3:3" ht="14.25" customHeight="1" x14ac:dyDescent="0.25">
      <c r="C730" s="94"/>
    </row>
    <row r="731" spans="3:3" ht="14.25" customHeight="1" x14ac:dyDescent="0.25">
      <c r="C731" s="94"/>
    </row>
    <row r="732" spans="3:3" ht="14.25" customHeight="1" x14ac:dyDescent="0.25">
      <c r="C732" s="94"/>
    </row>
    <row r="733" spans="3:3" ht="14.25" customHeight="1" x14ac:dyDescent="0.25">
      <c r="C733" s="94"/>
    </row>
    <row r="734" spans="3:3" ht="14.25" customHeight="1" x14ac:dyDescent="0.25">
      <c r="C734" s="94"/>
    </row>
    <row r="735" spans="3:3" ht="14.25" customHeight="1" x14ac:dyDescent="0.25">
      <c r="C735" s="94"/>
    </row>
    <row r="736" spans="3:3" ht="14.25" customHeight="1" x14ac:dyDescent="0.25">
      <c r="C736" s="94"/>
    </row>
    <row r="737" spans="3:3" ht="14.25" customHeight="1" x14ac:dyDescent="0.25">
      <c r="C737" s="94"/>
    </row>
    <row r="738" spans="3:3" ht="14.25" customHeight="1" x14ac:dyDescent="0.25">
      <c r="C738" s="94"/>
    </row>
    <row r="739" spans="3:3" ht="14.25" customHeight="1" x14ac:dyDescent="0.25">
      <c r="C739" s="94"/>
    </row>
    <row r="740" spans="3:3" ht="14.25" customHeight="1" x14ac:dyDescent="0.25">
      <c r="C740" s="94"/>
    </row>
    <row r="741" spans="3:3" ht="14.25" customHeight="1" x14ac:dyDescent="0.25">
      <c r="C741" s="94"/>
    </row>
    <row r="742" spans="3:3" ht="14.25" customHeight="1" x14ac:dyDescent="0.25">
      <c r="C742" s="94"/>
    </row>
    <row r="743" spans="3:3" ht="14.25" customHeight="1" x14ac:dyDescent="0.25">
      <c r="C743" s="94"/>
    </row>
    <row r="744" spans="3:3" ht="14.25" customHeight="1" x14ac:dyDescent="0.25">
      <c r="C744" s="94"/>
    </row>
    <row r="745" spans="3:3" ht="14.25" customHeight="1" x14ac:dyDescent="0.25">
      <c r="C745" s="94"/>
    </row>
    <row r="746" spans="3:3" ht="14.25" customHeight="1" x14ac:dyDescent="0.25">
      <c r="C746" s="94"/>
    </row>
    <row r="747" spans="3:3" ht="14.25" customHeight="1" x14ac:dyDescent="0.25">
      <c r="C747" s="94"/>
    </row>
    <row r="748" spans="3:3" ht="14.25" customHeight="1" x14ac:dyDescent="0.25">
      <c r="C748" s="94"/>
    </row>
    <row r="749" spans="3:3" ht="14.25" customHeight="1" x14ac:dyDescent="0.25">
      <c r="C749" s="94"/>
    </row>
    <row r="750" spans="3:3" ht="14.25" customHeight="1" x14ac:dyDescent="0.25">
      <c r="C750" s="94"/>
    </row>
    <row r="751" spans="3:3" ht="14.25" customHeight="1" x14ac:dyDescent="0.25">
      <c r="C751" s="94"/>
    </row>
    <row r="752" spans="3:3" ht="14.25" customHeight="1" x14ac:dyDescent="0.25">
      <c r="C752" s="94"/>
    </row>
    <row r="753" spans="3:3" ht="14.25" customHeight="1" x14ac:dyDescent="0.25">
      <c r="C753" s="94"/>
    </row>
    <row r="754" spans="3:3" ht="14.25" customHeight="1" x14ac:dyDescent="0.25">
      <c r="C754" s="94"/>
    </row>
    <row r="755" spans="3:3" ht="14.25" customHeight="1" x14ac:dyDescent="0.25">
      <c r="C755" s="94"/>
    </row>
    <row r="756" spans="3:3" ht="14.25" customHeight="1" x14ac:dyDescent="0.25">
      <c r="C756" s="94"/>
    </row>
    <row r="757" spans="3:3" ht="14.25" customHeight="1" x14ac:dyDescent="0.25">
      <c r="C757" s="94"/>
    </row>
    <row r="758" spans="3:3" ht="14.25" customHeight="1" x14ac:dyDescent="0.25">
      <c r="C758" s="94"/>
    </row>
    <row r="759" spans="3:3" ht="14.25" customHeight="1" x14ac:dyDescent="0.25">
      <c r="C759" s="94"/>
    </row>
    <row r="760" spans="3:3" ht="14.25" customHeight="1" x14ac:dyDescent="0.25">
      <c r="C760" s="94"/>
    </row>
    <row r="761" spans="3:3" ht="14.25" customHeight="1" x14ac:dyDescent="0.25">
      <c r="C761" s="94"/>
    </row>
    <row r="762" spans="3:3" ht="14.25" customHeight="1" x14ac:dyDescent="0.25">
      <c r="C762" s="94"/>
    </row>
    <row r="763" spans="3:3" ht="14.25" customHeight="1" x14ac:dyDescent="0.25">
      <c r="C763" s="94"/>
    </row>
    <row r="764" spans="3:3" ht="14.25" customHeight="1" x14ac:dyDescent="0.25">
      <c r="C764" s="94"/>
    </row>
    <row r="765" spans="3:3" ht="14.25" customHeight="1" x14ac:dyDescent="0.25">
      <c r="C765" s="94"/>
    </row>
    <row r="766" spans="3:3" ht="14.25" customHeight="1" x14ac:dyDescent="0.25">
      <c r="C766" s="94"/>
    </row>
    <row r="767" spans="3:3" ht="14.25" customHeight="1" x14ac:dyDescent="0.25">
      <c r="C767" s="94"/>
    </row>
    <row r="768" spans="3:3" ht="14.25" customHeight="1" x14ac:dyDescent="0.25">
      <c r="C768" s="94"/>
    </row>
    <row r="769" spans="3:3" ht="14.25" customHeight="1" x14ac:dyDescent="0.25">
      <c r="C769" s="94"/>
    </row>
    <row r="770" spans="3:3" ht="14.25" customHeight="1" x14ac:dyDescent="0.25">
      <c r="C770" s="94"/>
    </row>
    <row r="771" spans="3:3" ht="14.25" customHeight="1" x14ac:dyDescent="0.25">
      <c r="C771" s="94"/>
    </row>
    <row r="772" spans="3:3" ht="14.25" customHeight="1" x14ac:dyDescent="0.25">
      <c r="C772" s="94"/>
    </row>
    <row r="773" spans="3:3" ht="14.25" customHeight="1" x14ac:dyDescent="0.25">
      <c r="C773" s="94"/>
    </row>
    <row r="774" spans="3:3" ht="14.25" customHeight="1" x14ac:dyDescent="0.25">
      <c r="C774" s="94"/>
    </row>
    <row r="775" spans="3:3" ht="14.25" customHeight="1" x14ac:dyDescent="0.25">
      <c r="C775" s="94"/>
    </row>
    <row r="776" spans="3:3" ht="14.25" customHeight="1" x14ac:dyDescent="0.25">
      <c r="C776" s="94"/>
    </row>
    <row r="777" spans="3:3" ht="14.25" customHeight="1" x14ac:dyDescent="0.25">
      <c r="C777" s="94"/>
    </row>
    <row r="778" spans="3:3" ht="14.25" customHeight="1" x14ac:dyDescent="0.25">
      <c r="C778" s="94"/>
    </row>
    <row r="779" spans="3:3" ht="14.25" customHeight="1" x14ac:dyDescent="0.25">
      <c r="C779" s="94"/>
    </row>
    <row r="780" spans="3:3" ht="14.25" customHeight="1" x14ac:dyDescent="0.25">
      <c r="C780" s="94"/>
    </row>
    <row r="781" spans="3:3" ht="14.25" customHeight="1" x14ac:dyDescent="0.25">
      <c r="C781" s="94"/>
    </row>
    <row r="782" spans="3:3" ht="14.25" customHeight="1" x14ac:dyDescent="0.25">
      <c r="C782" s="94"/>
    </row>
    <row r="783" spans="3:3" ht="14.25" customHeight="1" x14ac:dyDescent="0.25">
      <c r="C783" s="94"/>
    </row>
    <row r="784" spans="3:3" ht="14.25" customHeight="1" x14ac:dyDescent="0.25">
      <c r="C784" s="94"/>
    </row>
    <row r="785" spans="3:3" ht="14.25" customHeight="1" x14ac:dyDescent="0.25">
      <c r="C785" s="94"/>
    </row>
    <row r="786" spans="3:3" ht="14.25" customHeight="1" x14ac:dyDescent="0.25">
      <c r="C786" s="94"/>
    </row>
    <row r="787" spans="3:3" ht="14.25" customHeight="1" x14ac:dyDescent="0.25">
      <c r="C787" s="94"/>
    </row>
    <row r="788" spans="3:3" ht="14.25" customHeight="1" x14ac:dyDescent="0.25">
      <c r="C788" s="94"/>
    </row>
    <row r="789" spans="3:3" ht="14.25" customHeight="1" x14ac:dyDescent="0.25">
      <c r="C789" s="94"/>
    </row>
    <row r="790" spans="3:3" ht="14.25" customHeight="1" x14ac:dyDescent="0.25">
      <c r="C790" s="94"/>
    </row>
    <row r="791" spans="3:3" ht="14.25" customHeight="1" x14ac:dyDescent="0.25">
      <c r="C791" s="94"/>
    </row>
    <row r="792" spans="3:3" ht="14.25" customHeight="1" x14ac:dyDescent="0.25">
      <c r="C792" s="94"/>
    </row>
    <row r="793" spans="3:3" ht="14.25" customHeight="1" x14ac:dyDescent="0.25">
      <c r="C793" s="94"/>
    </row>
    <row r="794" spans="3:3" ht="14.25" customHeight="1" x14ac:dyDescent="0.25">
      <c r="C794" s="94"/>
    </row>
    <row r="795" spans="3:3" ht="14.25" customHeight="1" x14ac:dyDescent="0.25">
      <c r="C795" s="94"/>
    </row>
    <row r="796" spans="3:3" ht="14.25" customHeight="1" x14ac:dyDescent="0.25">
      <c r="C796" s="94"/>
    </row>
    <row r="797" spans="3:3" ht="14.25" customHeight="1" x14ac:dyDescent="0.25">
      <c r="C797" s="94"/>
    </row>
    <row r="798" spans="3:3" ht="14.25" customHeight="1" x14ac:dyDescent="0.25">
      <c r="C798" s="94"/>
    </row>
    <row r="799" spans="3:3" ht="14.25" customHeight="1" x14ac:dyDescent="0.25">
      <c r="C799" s="94"/>
    </row>
    <row r="800" spans="3:3" ht="14.25" customHeight="1" x14ac:dyDescent="0.25">
      <c r="C800" s="94"/>
    </row>
    <row r="801" spans="3:3" ht="14.25" customHeight="1" x14ac:dyDescent="0.25">
      <c r="C801" s="94"/>
    </row>
    <row r="802" spans="3:3" ht="14.25" customHeight="1" x14ac:dyDescent="0.25">
      <c r="C802" s="94"/>
    </row>
    <row r="803" spans="3:3" ht="14.25" customHeight="1" x14ac:dyDescent="0.25">
      <c r="C803" s="94"/>
    </row>
    <row r="804" spans="3:3" ht="14.25" customHeight="1" x14ac:dyDescent="0.25">
      <c r="C804" s="94"/>
    </row>
    <row r="805" spans="3:3" ht="14.25" customHeight="1" x14ac:dyDescent="0.25">
      <c r="C805" s="94"/>
    </row>
    <row r="806" spans="3:3" ht="14.25" customHeight="1" x14ac:dyDescent="0.25">
      <c r="C806" s="94"/>
    </row>
    <row r="807" spans="3:3" ht="14.25" customHeight="1" x14ac:dyDescent="0.25">
      <c r="C807" s="94"/>
    </row>
    <row r="808" spans="3:3" ht="14.25" customHeight="1" x14ac:dyDescent="0.25">
      <c r="C808" s="94"/>
    </row>
    <row r="809" spans="3:3" ht="14.25" customHeight="1" x14ac:dyDescent="0.25">
      <c r="C809" s="94"/>
    </row>
    <row r="810" spans="3:3" ht="14.25" customHeight="1" x14ac:dyDescent="0.25">
      <c r="C810" s="94"/>
    </row>
    <row r="811" spans="3:3" ht="14.25" customHeight="1" x14ac:dyDescent="0.25">
      <c r="C811" s="94"/>
    </row>
    <row r="812" spans="3:3" ht="14.25" customHeight="1" x14ac:dyDescent="0.25">
      <c r="C812" s="94"/>
    </row>
    <row r="813" spans="3:3" ht="14.25" customHeight="1" x14ac:dyDescent="0.25">
      <c r="C813" s="94"/>
    </row>
    <row r="814" spans="3:3" ht="14.25" customHeight="1" x14ac:dyDescent="0.25">
      <c r="C814" s="94"/>
    </row>
    <row r="815" spans="3:3" ht="14.25" customHeight="1" x14ac:dyDescent="0.25">
      <c r="C815" s="94"/>
    </row>
    <row r="816" spans="3:3" ht="14.25" customHeight="1" x14ac:dyDescent="0.25">
      <c r="C816" s="94"/>
    </row>
    <row r="817" spans="3:3" ht="14.25" customHeight="1" x14ac:dyDescent="0.25">
      <c r="C817" s="94"/>
    </row>
    <row r="818" spans="3:3" ht="14.25" customHeight="1" x14ac:dyDescent="0.25">
      <c r="C818" s="94"/>
    </row>
    <row r="819" spans="3:3" ht="14.25" customHeight="1" x14ac:dyDescent="0.25">
      <c r="C819" s="94"/>
    </row>
    <row r="820" spans="3:3" ht="14.25" customHeight="1" x14ac:dyDescent="0.25">
      <c r="C820" s="94"/>
    </row>
    <row r="821" spans="3:3" ht="14.25" customHeight="1" x14ac:dyDescent="0.25">
      <c r="C821" s="94"/>
    </row>
    <row r="822" spans="3:3" ht="14.25" customHeight="1" x14ac:dyDescent="0.25">
      <c r="C822" s="94"/>
    </row>
    <row r="823" spans="3:3" ht="14.25" customHeight="1" x14ac:dyDescent="0.25">
      <c r="C823" s="94"/>
    </row>
    <row r="824" spans="3:3" ht="14.25" customHeight="1" x14ac:dyDescent="0.25">
      <c r="C824" s="94"/>
    </row>
    <row r="825" spans="3:3" ht="14.25" customHeight="1" x14ac:dyDescent="0.25">
      <c r="C825" s="94"/>
    </row>
    <row r="826" spans="3:3" ht="14.25" customHeight="1" x14ac:dyDescent="0.25">
      <c r="C826" s="94"/>
    </row>
    <row r="827" spans="3:3" ht="14.25" customHeight="1" x14ac:dyDescent="0.25">
      <c r="C827" s="94"/>
    </row>
    <row r="828" spans="3:3" ht="14.25" customHeight="1" x14ac:dyDescent="0.25">
      <c r="C828" s="94"/>
    </row>
    <row r="829" spans="3:3" ht="14.25" customHeight="1" x14ac:dyDescent="0.25">
      <c r="C829" s="94"/>
    </row>
    <row r="830" spans="3:3" ht="14.25" customHeight="1" x14ac:dyDescent="0.25">
      <c r="C830" s="94"/>
    </row>
    <row r="831" spans="3:3" ht="14.25" customHeight="1" x14ac:dyDescent="0.25">
      <c r="C831" s="94"/>
    </row>
    <row r="832" spans="3:3" ht="14.25" customHeight="1" x14ac:dyDescent="0.25">
      <c r="C832" s="94"/>
    </row>
    <row r="833" spans="3:3" ht="14.25" customHeight="1" x14ac:dyDescent="0.25">
      <c r="C833" s="94"/>
    </row>
    <row r="834" spans="3:3" ht="14.25" customHeight="1" x14ac:dyDescent="0.25">
      <c r="C834" s="94"/>
    </row>
    <row r="835" spans="3:3" ht="14.25" customHeight="1" x14ac:dyDescent="0.25">
      <c r="C835" s="94"/>
    </row>
    <row r="836" spans="3:3" ht="14.25" customHeight="1" x14ac:dyDescent="0.25">
      <c r="C836" s="94"/>
    </row>
    <row r="837" spans="3:3" ht="14.25" customHeight="1" x14ac:dyDescent="0.25">
      <c r="C837" s="94"/>
    </row>
    <row r="838" spans="3:3" ht="14.25" customHeight="1" x14ac:dyDescent="0.25">
      <c r="C838" s="94"/>
    </row>
    <row r="839" spans="3:3" ht="14.25" customHeight="1" x14ac:dyDescent="0.25">
      <c r="C839" s="94"/>
    </row>
    <row r="840" spans="3:3" ht="14.25" customHeight="1" x14ac:dyDescent="0.25">
      <c r="C840" s="94"/>
    </row>
    <row r="841" spans="3:3" ht="14.25" customHeight="1" x14ac:dyDescent="0.25">
      <c r="C841" s="94"/>
    </row>
    <row r="842" spans="3:3" ht="14.25" customHeight="1" x14ac:dyDescent="0.25">
      <c r="C842" s="94"/>
    </row>
    <row r="843" spans="3:3" ht="14.25" customHeight="1" x14ac:dyDescent="0.25">
      <c r="C843" s="94"/>
    </row>
    <row r="844" spans="3:3" ht="14.25" customHeight="1" x14ac:dyDescent="0.25">
      <c r="C844" s="94"/>
    </row>
    <row r="845" spans="3:3" ht="14.25" customHeight="1" x14ac:dyDescent="0.25">
      <c r="C845" s="94"/>
    </row>
    <row r="846" spans="3:3" ht="14.25" customHeight="1" x14ac:dyDescent="0.25">
      <c r="C846" s="94"/>
    </row>
    <row r="847" spans="3:3" ht="14.25" customHeight="1" x14ac:dyDescent="0.25">
      <c r="C847" s="94"/>
    </row>
    <row r="848" spans="3:3" ht="14.25" customHeight="1" x14ac:dyDescent="0.25">
      <c r="C848" s="94"/>
    </row>
    <row r="849" spans="3:3" ht="14.25" customHeight="1" x14ac:dyDescent="0.25">
      <c r="C849" s="94"/>
    </row>
    <row r="850" spans="3:3" ht="14.25" customHeight="1" x14ac:dyDescent="0.25">
      <c r="C850" s="94"/>
    </row>
    <row r="851" spans="3:3" ht="14.25" customHeight="1" x14ac:dyDescent="0.25">
      <c r="C851" s="94"/>
    </row>
    <row r="852" spans="3:3" ht="14.25" customHeight="1" x14ac:dyDescent="0.25">
      <c r="C852" s="94"/>
    </row>
    <row r="853" spans="3:3" ht="14.25" customHeight="1" x14ac:dyDescent="0.25">
      <c r="C853" s="94"/>
    </row>
    <row r="854" spans="3:3" ht="14.25" customHeight="1" x14ac:dyDescent="0.25">
      <c r="C854" s="94"/>
    </row>
    <row r="855" spans="3:3" ht="14.25" customHeight="1" x14ac:dyDescent="0.25">
      <c r="C855" s="94"/>
    </row>
    <row r="856" spans="3:3" ht="14.25" customHeight="1" x14ac:dyDescent="0.25">
      <c r="C856" s="94"/>
    </row>
    <row r="857" spans="3:3" ht="14.25" customHeight="1" x14ac:dyDescent="0.25">
      <c r="C857" s="94"/>
    </row>
    <row r="858" spans="3:3" ht="14.25" customHeight="1" x14ac:dyDescent="0.25">
      <c r="C858" s="94"/>
    </row>
    <row r="859" spans="3:3" ht="14.25" customHeight="1" x14ac:dyDescent="0.25">
      <c r="C859" s="94"/>
    </row>
    <row r="860" spans="3:3" ht="14.25" customHeight="1" x14ac:dyDescent="0.25">
      <c r="C860" s="94"/>
    </row>
    <row r="861" spans="3:3" ht="14.25" customHeight="1" x14ac:dyDescent="0.25">
      <c r="C861" s="94"/>
    </row>
    <row r="862" spans="3:3" ht="14.25" customHeight="1" x14ac:dyDescent="0.25">
      <c r="C862" s="94"/>
    </row>
    <row r="863" spans="3:3" ht="14.25" customHeight="1" x14ac:dyDescent="0.25">
      <c r="C863" s="94"/>
    </row>
    <row r="864" spans="3:3" ht="14.25" customHeight="1" x14ac:dyDescent="0.25">
      <c r="C864" s="94"/>
    </row>
    <row r="865" spans="3:3" ht="14.25" customHeight="1" x14ac:dyDescent="0.25">
      <c r="C865" s="94"/>
    </row>
    <row r="866" spans="3:3" ht="14.25" customHeight="1" x14ac:dyDescent="0.25">
      <c r="C866" s="94"/>
    </row>
    <row r="867" spans="3:3" ht="14.25" customHeight="1" x14ac:dyDescent="0.25">
      <c r="C867" s="94"/>
    </row>
    <row r="868" spans="3:3" ht="14.25" customHeight="1" x14ac:dyDescent="0.25">
      <c r="C868" s="94"/>
    </row>
    <row r="869" spans="3:3" ht="14.25" customHeight="1" x14ac:dyDescent="0.25">
      <c r="C869" s="94"/>
    </row>
    <row r="870" spans="3:3" ht="14.25" customHeight="1" x14ac:dyDescent="0.25">
      <c r="C870" s="94"/>
    </row>
    <row r="871" spans="3:3" ht="14.25" customHeight="1" x14ac:dyDescent="0.25">
      <c r="C871" s="94"/>
    </row>
    <row r="872" spans="3:3" ht="14.25" customHeight="1" x14ac:dyDescent="0.25">
      <c r="C872" s="94"/>
    </row>
    <row r="873" spans="3:3" ht="14.25" customHeight="1" x14ac:dyDescent="0.25">
      <c r="C873" s="94"/>
    </row>
    <row r="874" spans="3:3" ht="14.25" customHeight="1" x14ac:dyDescent="0.25">
      <c r="C874" s="94"/>
    </row>
    <row r="875" spans="3:3" ht="14.25" customHeight="1" x14ac:dyDescent="0.25">
      <c r="C875" s="94"/>
    </row>
    <row r="876" spans="3:3" ht="14.25" customHeight="1" x14ac:dyDescent="0.25">
      <c r="C876" s="94"/>
    </row>
    <row r="877" spans="3:3" ht="14.25" customHeight="1" x14ac:dyDescent="0.25">
      <c r="C877" s="94"/>
    </row>
    <row r="878" spans="3:3" ht="14.25" customHeight="1" x14ac:dyDescent="0.25">
      <c r="C878" s="94"/>
    </row>
    <row r="879" spans="3:3" ht="14.25" customHeight="1" x14ac:dyDescent="0.25">
      <c r="C879" s="94"/>
    </row>
    <row r="880" spans="3:3" ht="14.25" customHeight="1" x14ac:dyDescent="0.25">
      <c r="C880" s="94"/>
    </row>
    <row r="881" spans="3:3" ht="14.25" customHeight="1" x14ac:dyDescent="0.25">
      <c r="C881" s="94"/>
    </row>
    <row r="882" spans="3:3" ht="14.25" customHeight="1" x14ac:dyDescent="0.25">
      <c r="C882" s="94"/>
    </row>
    <row r="883" spans="3:3" ht="14.25" customHeight="1" x14ac:dyDescent="0.25">
      <c r="C883" s="94"/>
    </row>
    <row r="884" spans="3:3" ht="14.25" customHeight="1" x14ac:dyDescent="0.25">
      <c r="C884" s="94"/>
    </row>
    <row r="885" spans="3:3" ht="14.25" customHeight="1" x14ac:dyDescent="0.25">
      <c r="C885" s="94"/>
    </row>
    <row r="886" spans="3:3" ht="14.25" customHeight="1" x14ac:dyDescent="0.25">
      <c r="C886" s="94"/>
    </row>
    <row r="887" spans="3:3" ht="14.25" customHeight="1" x14ac:dyDescent="0.25">
      <c r="C887" s="94"/>
    </row>
    <row r="888" spans="3:3" ht="14.25" customHeight="1" x14ac:dyDescent="0.25">
      <c r="C888" s="94"/>
    </row>
    <row r="889" spans="3:3" ht="14.25" customHeight="1" x14ac:dyDescent="0.25">
      <c r="C889" s="94"/>
    </row>
    <row r="890" spans="3:3" ht="14.25" customHeight="1" x14ac:dyDescent="0.25">
      <c r="C890" s="94"/>
    </row>
    <row r="891" spans="3:3" ht="14.25" customHeight="1" x14ac:dyDescent="0.25">
      <c r="C891" s="94"/>
    </row>
    <row r="892" spans="3:3" ht="14.25" customHeight="1" x14ac:dyDescent="0.25">
      <c r="C892" s="94"/>
    </row>
    <row r="893" spans="3:3" ht="14.25" customHeight="1" x14ac:dyDescent="0.25">
      <c r="C893" s="94"/>
    </row>
    <row r="894" spans="3:3" ht="14.25" customHeight="1" x14ac:dyDescent="0.25">
      <c r="C894" s="94"/>
    </row>
    <row r="895" spans="3:3" ht="14.25" customHeight="1" x14ac:dyDescent="0.25">
      <c r="C895" s="94"/>
    </row>
    <row r="896" spans="3:3" ht="14.25" customHeight="1" x14ac:dyDescent="0.25">
      <c r="C896" s="94"/>
    </row>
    <row r="897" spans="3:3" ht="14.25" customHeight="1" x14ac:dyDescent="0.25">
      <c r="C897" s="94"/>
    </row>
    <row r="898" spans="3:3" ht="14.25" customHeight="1" x14ac:dyDescent="0.25">
      <c r="C898" s="94"/>
    </row>
    <row r="899" spans="3:3" ht="14.25" customHeight="1" x14ac:dyDescent="0.25">
      <c r="C899" s="94"/>
    </row>
    <row r="900" spans="3:3" ht="14.25" customHeight="1" x14ac:dyDescent="0.25">
      <c r="C900" s="94"/>
    </row>
    <row r="901" spans="3:3" ht="14.25" customHeight="1" x14ac:dyDescent="0.25">
      <c r="C901" s="94"/>
    </row>
    <row r="902" spans="3:3" ht="14.25" customHeight="1" x14ac:dyDescent="0.25">
      <c r="C902" s="94"/>
    </row>
    <row r="903" spans="3:3" ht="14.25" customHeight="1" x14ac:dyDescent="0.25">
      <c r="C903" s="94"/>
    </row>
    <row r="904" spans="3:3" ht="14.25" customHeight="1" x14ac:dyDescent="0.25">
      <c r="C904" s="94"/>
    </row>
    <row r="905" spans="3:3" ht="14.25" customHeight="1" x14ac:dyDescent="0.25">
      <c r="C905" s="94"/>
    </row>
    <row r="906" spans="3:3" ht="14.25" customHeight="1" x14ac:dyDescent="0.25">
      <c r="C906" s="94"/>
    </row>
    <row r="907" spans="3:3" ht="14.25" customHeight="1" x14ac:dyDescent="0.25">
      <c r="C907" s="94"/>
    </row>
    <row r="908" spans="3:3" ht="14.25" customHeight="1" x14ac:dyDescent="0.25">
      <c r="C908" s="94"/>
    </row>
    <row r="909" spans="3:3" ht="14.25" customHeight="1" x14ac:dyDescent="0.25">
      <c r="C909" s="94"/>
    </row>
    <row r="910" spans="3:3" ht="14.25" customHeight="1" x14ac:dyDescent="0.25">
      <c r="C910" s="94"/>
    </row>
    <row r="911" spans="3:3" ht="14.25" customHeight="1" x14ac:dyDescent="0.25">
      <c r="C911" s="94"/>
    </row>
    <row r="912" spans="3:3" ht="14.25" customHeight="1" x14ac:dyDescent="0.25">
      <c r="C912" s="94"/>
    </row>
    <row r="913" spans="3:3" ht="14.25" customHeight="1" x14ac:dyDescent="0.25">
      <c r="C913" s="94"/>
    </row>
    <row r="914" spans="3:3" ht="14.25" customHeight="1" x14ac:dyDescent="0.25">
      <c r="C914" s="94"/>
    </row>
    <row r="915" spans="3:3" ht="14.25" customHeight="1" x14ac:dyDescent="0.25">
      <c r="C915" s="94"/>
    </row>
    <row r="916" spans="3:3" ht="14.25" customHeight="1" x14ac:dyDescent="0.25">
      <c r="C916" s="94"/>
    </row>
    <row r="917" spans="3:3" ht="14.25" customHeight="1" x14ac:dyDescent="0.25">
      <c r="C917" s="94"/>
    </row>
    <row r="918" spans="3:3" ht="14.25" customHeight="1" x14ac:dyDescent="0.25">
      <c r="C918" s="94"/>
    </row>
    <row r="919" spans="3:3" ht="14.25" customHeight="1" x14ac:dyDescent="0.25">
      <c r="C919" s="94"/>
    </row>
    <row r="920" spans="3:3" ht="14.25" customHeight="1" x14ac:dyDescent="0.25">
      <c r="C920" s="94"/>
    </row>
    <row r="921" spans="3:3" ht="14.25" customHeight="1" x14ac:dyDescent="0.25">
      <c r="C921" s="94"/>
    </row>
    <row r="922" spans="3:3" ht="14.25" customHeight="1" x14ac:dyDescent="0.25">
      <c r="C922" s="94"/>
    </row>
    <row r="923" spans="3:3" ht="14.25" customHeight="1" x14ac:dyDescent="0.25">
      <c r="C923" s="94"/>
    </row>
    <row r="924" spans="3:3" ht="14.25" customHeight="1" x14ac:dyDescent="0.25">
      <c r="C924" s="94"/>
    </row>
    <row r="925" spans="3:3" ht="14.25" customHeight="1" x14ac:dyDescent="0.25">
      <c r="C925" s="94"/>
    </row>
    <row r="926" spans="3:3" ht="14.25" customHeight="1" x14ac:dyDescent="0.25">
      <c r="C926" s="94"/>
    </row>
    <row r="927" spans="3:3" ht="14.25" customHeight="1" x14ac:dyDescent="0.25">
      <c r="C927" s="94"/>
    </row>
    <row r="928" spans="3:3" ht="14.25" customHeight="1" x14ac:dyDescent="0.25">
      <c r="C928" s="94"/>
    </row>
    <row r="929" spans="3:3" ht="14.25" customHeight="1" x14ac:dyDescent="0.25">
      <c r="C929" s="94"/>
    </row>
    <row r="930" spans="3:3" ht="14.25" customHeight="1" x14ac:dyDescent="0.25">
      <c r="C930" s="94"/>
    </row>
    <row r="931" spans="3:3" ht="14.25" customHeight="1" x14ac:dyDescent="0.25">
      <c r="C931" s="94"/>
    </row>
    <row r="932" spans="3:3" ht="14.25" customHeight="1" x14ac:dyDescent="0.25">
      <c r="C932" s="94"/>
    </row>
    <row r="933" spans="3:3" ht="14.25" customHeight="1" x14ac:dyDescent="0.25">
      <c r="C933" s="94"/>
    </row>
    <row r="934" spans="3:3" ht="14.25" customHeight="1" x14ac:dyDescent="0.25">
      <c r="C934" s="94"/>
    </row>
    <row r="935" spans="3:3" ht="14.25" customHeight="1" x14ac:dyDescent="0.25">
      <c r="C935" s="94"/>
    </row>
    <row r="936" spans="3:3" ht="14.25" customHeight="1" x14ac:dyDescent="0.25">
      <c r="C936" s="94"/>
    </row>
    <row r="937" spans="3:3" ht="14.25" customHeight="1" x14ac:dyDescent="0.25">
      <c r="C937" s="94"/>
    </row>
    <row r="938" spans="3:3" ht="14.25" customHeight="1" x14ac:dyDescent="0.25">
      <c r="C938" s="94"/>
    </row>
    <row r="939" spans="3:3" ht="14.25" customHeight="1" x14ac:dyDescent="0.25">
      <c r="C939" s="94"/>
    </row>
    <row r="940" spans="3:3" ht="14.25" customHeight="1" x14ac:dyDescent="0.25">
      <c r="C940" s="94"/>
    </row>
    <row r="941" spans="3:3" ht="14.25" customHeight="1" x14ac:dyDescent="0.25">
      <c r="C941" s="94"/>
    </row>
    <row r="942" spans="3:3" ht="14.25" customHeight="1" x14ac:dyDescent="0.25">
      <c r="C942" s="94"/>
    </row>
    <row r="943" spans="3:3" ht="14.25" customHeight="1" x14ac:dyDescent="0.25">
      <c r="C943" s="94"/>
    </row>
    <row r="944" spans="3:3" ht="14.25" customHeight="1" x14ac:dyDescent="0.25">
      <c r="C944" s="94"/>
    </row>
    <row r="945" spans="3:3" ht="14.25" customHeight="1" x14ac:dyDescent="0.25">
      <c r="C945" s="94"/>
    </row>
    <row r="946" spans="3:3" ht="14.25" customHeight="1" x14ac:dyDescent="0.25">
      <c r="C946" s="94"/>
    </row>
    <row r="947" spans="3:3" ht="14.25" customHeight="1" x14ac:dyDescent="0.25">
      <c r="C947" s="94"/>
    </row>
    <row r="948" spans="3:3" ht="14.25" customHeight="1" x14ac:dyDescent="0.25">
      <c r="C948" s="94"/>
    </row>
    <row r="949" spans="3:3" ht="14.25" customHeight="1" x14ac:dyDescent="0.25">
      <c r="C949" s="94"/>
    </row>
    <row r="950" spans="3:3" ht="14.25" customHeight="1" x14ac:dyDescent="0.25">
      <c r="C950" s="94"/>
    </row>
    <row r="951" spans="3:3" ht="14.25" customHeight="1" x14ac:dyDescent="0.25">
      <c r="C951" s="94"/>
    </row>
    <row r="952" spans="3:3" ht="14.25" customHeight="1" x14ac:dyDescent="0.25">
      <c r="C952" s="94"/>
    </row>
    <row r="953" spans="3:3" ht="14.25" customHeight="1" x14ac:dyDescent="0.25">
      <c r="C953" s="94"/>
    </row>
    <row r="954" spans="3:3" ht="14.25" customHeight="1" x14ac:dyDescent="0.25">
      <c r="C954" s="94"/>
    </row>
    <row r="955" spans="3:3" ht="14.25" customHeight="1" x14ac:dyDescent="0.25">
      <c r="C955" s="94"/>
    </row>
    <row r="956" spans="3:3" ht="14.25" customHeight="1" x14ac:dyDescent="0.25">
      <c r="C956" s="94"/>
    </row>
    <row r="957" spans="3:3" ht="14.25" customHeight="1" x14ac:dyDescent="0.25">
      <c r="C957" s="94"/>
    </row>
    <row r="958" spans="3:3" ht="14.25" customHeight="1" x14ac:dyDescent="0.25">
      <c r="C958" s="94"/>
    </row>
    <row r="959" spans="3:3" ht="14.25" customHeight="1" x14ac:dyDescent="0.25">
      <c r="C959" s="94"/>
    </row>
    <row r="960" spans="3:3" ht="14.25" customHeight="1" x14ac:dyDescent="0.25">
      <c r="C960" s="94"/>
    </row>
    <row r="961" spans="3:3" ht="14.25" customHeight="1" x14ac:dyDescent="0.25">
      <c r="C961" s="94"/>
    </row>
    <row r="962" spans="3:3" ht="14.25" customHeight="1" x14ac:dyDescent="0.25">
      <c r="C962" s="94"/>
    </row>
    <row r="963" spans="3:3" ht="14.25" customHeight="1" x14ac:dyDescent="0.25">
      <c r="C963" s="94"/>
    </row>
    <row r="964" spans="3:3" ht="14.25" customHeight="1" x14ac:dyDescent="0.25">
      <c r="C964" s="94"/>
    </row>
    <row r="965" spans="3:3" ht="14.25" customHeight="1" x14ac:dyDescent="0.25">
      <c r="C965" s="94"/>
    </row>
    <row r="966" spans="3:3" ht="14.25" customHeight="1" x14ac:dyDescent="0.25">
      <c r="C966" s="94"/>
    </row>
    <row r="967" spans="3:3" ht="14.25" customHeight="1" x14ac:dyDescent="0.25">
      <c r="C967" s="94"/>
    </row>
    <row r="968" spans="3:3" ht="14.25" customHeight="1" x14ac:dyDescent="0.25">
      <c r="C968" s="94"/>
    </row>
    <row r="969" spans="3:3" ht="14.25" customHeight="1" x14ac:dyDescent="0.25">
      <c r="C969" s="94"/>
    </row>
    <row r="970" spans="3:3" ht="14.25" customHeight="1" x14ac:dyDescent="0.25">
      <c r="C970" s="94"/>
    </row>
    <row r="971" spans="3:3" ht="14.25" customHeight="1" x14ac:dyDescent="0.25">
      <c r="C971" s="94"/>
    </row>
    <row r="972" spans="3:3" ht="14.25" customHeight="1" x14ac:dyDescent="0.25">
      <c r="C972" s="94"/>
    </row>
    <row r="973" spans="3:3" ht="14.25" customHeight="1" x14ac:dyDescent="0.25">
      <c r="C973" s="94"/>
    </row>
    <row r="974" spans="3:3" ht="14.25" customHeight="1" x14ac:dyDescent="0.25">
      <c r="C974" s="94"/>
    </row>
    <row r="975" spans="3:3" ht="14.25" customHeight="1" x14ac:dyDescent="0.25">
      <c r="C975" s="94"/>
    </row>
    <row r="976" spans="3:3" ht="14.25" customHeight="1" x14ac:dyDescent="0.25">
      <c r="C976" s="94"/>
    </row>
    <row r="977" spans="3:3" ht="14.25" customHeight="1" x14ac:dyDescent="0.25">
      <c r="C977" s="94"/>
    </row>
    <row r="978" spans="3:3" ht="14.25" customHeight="1" x14ac:dyDescent="0.25">
      <c r="C978" s="94"/>
    </row>
    <row r="979" spans="3:3" ht="14.25" customHeight="1" x14ac:dyDescent="0.25">
      <c r="C979" s="94"/>
    </row>
    <row r="980" spans="3:3" ht="14.25" customHeight="1" x14ac:dyDescent="0.25">
      <c r="C980" s="94"/>
    </row>
    <row r="981" spans="3:3" ht="14.25" customHeight="1" x14ac:dyDescent="0.25">
      <c r="C981" s="94"/>
    </row>
    <row r="982" spans="3:3" ht="14.25" customHeight="1" x14ac:dyDescent="0.25">
      <c r="C982" s="94"/>
    </row>
    <row r="983" spans="3:3" ht="14.25" customHeight="1" x14ac:dyDescent="0.25">
      <c r="C983" s="94"/>
    </row>
    <row r="984" spans="3:3" ht="14.25" customHeight="1" x14ac:dyDescent="0.25">
      <c r="C984" s="94"/>
    </row>
    <row r="985" spans="3:3" ht="14.25" customHeight="1" x14ac:dyDescent="0.25">
      <c r="C985" s="94"/>
    </row>
    <row r="986" spans="3:3" ht="14.25" customHeight="1" x14ac:dyDescent="0.25">
      <c r="C986" s="94"/>
    </row>
    <row r="987" spans="3:3" ht="14.25" customHeight="1" x14ac:dyDescent="0.25">
      <c r="C987" s="94"/>
    </row>
    <row r="988" spans="3:3" ht="14.25" customHeight="1" x14ac:dyDescent="0.25">
      <c r="C988" s="94"/>
    </row>
    <row r="989" spans="3:3" ht="14.25" customHeight="1" x14ac:dyDescent="0.25">
      <c r="C989" s="94"/>
    </row>
    <row r="990" spans="3:3" ht="14.25" customHeight="1" x14ac:dyDescent="0.25">
      <c r="C990" s="94"/>
    </row>
    <row r="991" spans="3:3" ht="14.25" customHeight="1" x14ac:dyDescent="0.25">
      <c r="C991" s="94"/>
    </row>
    <row r="992" spans="3:3" ht="14.25" customHeight="1" x14ac:dyDescent="0.25">
      <c r="C992" s="94"/>
    </row>
    <row r="993" spans="3:3" ht="14.25" customHeight="1" x14ac:dyDescent="0.25">
      <c r="C993" s="94"/>
    </row>
    <row r="994" spans="3:3" ht="14.25" customHeight="1" x14ac:dyDescent="0.25">
      <c r="C994" s="94"/>
    </row>
    <row r="995" spans="3:3" ht="14.25" customHeight="1" x14ac:dyDescent="0.25">
      <c r="C995" s="94"/>
    </row>
    <row r="996" spans="3:3" ht="14.25" customHeight="1" x14ac:dyDescent="0.25">
      <c r="C996" s="94"/>
    </row>
    <row r="997" spans="3:3" ht="14.25" customHeight="1" x14ac:dyDescent="0.25">
      <c r="C997" s="94"/>
    </row>
  </sheetData>
  <mergeCells count="3">
    <mergeCell ref="A1:L1"/>
    <mergeCell ref="C2:D2"/>
    <mergeCell ref="C3:D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FFFF00"/>
  </sheetPr>
  <dimension ref="A1:AB999"/>
  <sheetViews>
    <sheetView workbookViewId="0">
      <selection sqref="A1:K1"/>
    </sheetView>
  </sheetViews>
  <sheetFormatPr defaultColWidth="14.42578125" defaultRowHeight="15" customHeight="1" x14ac:dyDescent="0.25"/>
  <cols>
    <col min="1" max="1" width="21.5703125" customWidth="1"/>
    <col min="2" max="2" width="11.28515625" customWidth="1"/>
    <col min="3" max="4" width="10.7109375" customWidth="1"/>
    <col min="5" max="5" width="11.7109375" customWidth="1"/>
    <col min="6" max="6" width="11.42578125" customWidth="1"/>
    <col min="7" max="7" width="19" customWidth="1"/>
    <col min="8" max="8" width="15.7109375" customWidth="1"/>
    <col min="9" max="9" width="9.5703125" customWidth="1"/>
    <col min="10" max="10" width="10.28515625" customWidth="1"/>
    <col min="11" max="11" width="10.5703125" customWidth="1"/>
    <col min="12" max="13" width="9.140625" customWidth="1"/>
    <col min="14" max="28" width="10" customWidth="1"/>
  </cols>
  <sheetData>
    <row r="1" spans="1:28" ht="15" customHeight="1" x14ac:dyDescent="0.25">
      <c r="A1" s="230" t="s">
        <v>403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28" ht="15" customHeight="1" x14ac:dyDescent="0.25">
      <c r="A2" s="78" t="s">
        <v>404</v>
      </c>
      <c r="B2" s="79"/>
      <c r="C2" s="226" t="s">
        <v>332</v>
      </c>
      <c r="D2" s="227"/>
      <c r="E2" s="125" t="s">
        <v>333</v>
      </c>
      <c r="F2" s="82"/>
      <c r="G2" s="82"/>
      <c r="H2" s="126" t="s">
        <v>334</v>
      </c>
      <c r="I2" s="85" t="s">
        <v>335</v>
      </c>
      <c r="J2" s="86"/>
      <c r="K2" s="86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</row>
    <row r="3" spans="1:28" ht="24" customHeight="1" x14ac:dyDescent="0.25">
      <c r="A3" s="87" t="s">
        <v>405</v>
      </c>
      <c r="B3" s="127" t="s">
        <v>39</v>
      </c>
      <c r="C3" s="233" t="s">
        <v>338</v>
      </c>
      <c r="D3" s="234"/>
      <c r="E3" s="128" t="s">
        <v>339</v>
      </c>
      <c r="F3" s="91" t="s">
        <v>340</v>
      </c>
      <c r="G3" s="93" t="s">
        <v>341</v>
      </c>
      <c r="H3" s="90" t="s">
        <v>40</v>
      </c>
      <c r="I3" s="93" t="s">
        <v>342</v>
      </c>
      <c r="J3" s="90" t="s">
        <v>43</v>
      </c>
      <c r="K3" s="90" t="s">
        <v>44</v>
      </c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</row>
    <row r="4" spans="1:28" ht="14.25" customHeight="1" x14ac:dyDescent="0.25">
      <c r="A4" s="129" t="s">
        <v>406</v>
      </c>
      <c r="B4" s="108" t="s">
        <v>93</v>
      </c>
      <c r="C4" s="42">
        <v>75</v>
      </c>
      <c r="D4" s="108">
        <v>76</v>
      </c>
      <c r="E4" s="107">
        <v>44347</v>
      </c>
      <c r="F4" s="130" t="s">
        <v>345</v>
      </c>
      <c r="G4" s="108" t="s">
        <v>346</v>
      </c>
      <c r="H4" s="108" t="s">
        <v>89</v>
      </c>
      <c r="I4" s="108" t="s">
        <v>345</v>
      </c>
      <c r="J4" s="131" t="s">
        <v>89</v>
      </c>
      <c r="K4" s="131" t="s">
        <v>89</v>
      </c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</row>
    <row r="5" spans="1:28" ht="14.25" customHeight="1" x14ac:dyDescent="0.25">
      <c r="A5" s="129" t="s">
        <v>407</v>
      </c>
      <c r="B5" s="108" t="s">
        <v>93</v>
      </c>
      <c r="C5" s="42">
        <v>81</v>
      </c>
      <c r="D5" s="108">
        <v>82</v>
      </c>
      <c r="E5" s="107">
        <v>44348</v>
      </c>
      <c r="F5" s="130" t="s">
        <v>345</v>
      </c>
      <c r="G5" s="108" t="s">
        <v>346</v>
      </c>
      <c r="H5" s="108" t="s">
        <v>89</v>
      </c>
      <c r="I5" s="108" t="s">
        <v>345</v>
      </c>
      <c r="J5" s="131" t="s">
        <v>89</v>
      </c>
      <c r="K5" s="131" t="s">
        <v>89</v>
      </c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</row>
    <row r="6" spans="1:28" ht="14.25" customHeight="1" x14ac:dyDescent="0.25">
      <c r="A6" s="129" t="s">
        <v>408</v>
      </c>
      <c r="B6" s="108" t="s">
        <v>88</v>
      </c>
      <c r="C6" s="42">
        <v>102</v>
      </c>
      <c r="D6" s="108">
        <v>103</v>
      </c>
      <c r="E6" s="107">
        <v>44348</v>
      </c>
      <c r="F6" s="130" t="s">
        <v>345</v>
      </c>
      <c r="G6" s="108" t="s">
        <v>346</v>
      </c>
      <c r="H6" s="108" t="s">
        <v>89</v>
      </c>
      <c r="I6" s="108" t="s">
        <v>345</v>
      </c>
      <c r="J6" s="131" t="s">
        <v>89</v>
      </c>
      <c r="K6" s="131" t="s">
        <v>89</v>
      </c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</row>
    <row r="7" spans="1:28" ht="14.25" customHeight="1" x14ac:dyDescent="0.25">
      <c r="A7" s="129" t="s">
        <v>409</v>
      </c>
      <c r="B7" s="108" t="s">
        <v>88</v>
      </c>
      <c r="C7" s="42">
        <v>114</v>
      </c>
      <c r="D7" s="108">
        <v>115</v>
      </c>
      <c r="E7" s="107">
        <v>44349</v>
      </c>
      <c r="F7" s="130" t="s">
        <v>345</v>
      </c>
      <c r="G7" s="108" t="s">
        <v>346</v>
      </c>
      <c r="H7" s="108" t="s">
        <v>89</v>
      </c>
      <c r="I7" s="108" t="s">
        <v>345</v>
      </c>
      <c r="J7" s="131" t="s">
        <v>89</v>
      </c>
      <c r="K7" s="131" t="s">
        <v>89</v>
      </c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</row>
    <row r="8" spans="1:28" ht="14.25" customHeight="1" x14ac:dyDescent="0.25">
      <c r="A8" s="129" t="s">
        <v>410</v>
      </c>
      <c r="B8" s="108" t="s">
        <v>93</v>
      </c>
      <c r="C8" s="42">
        <v>44</v>
      </c>
      <c r="D8" s="108">
        <v>45</v>
      </c>
      <c r="E8" s="107">
        <v>44351</v>
      </c>
      <c r="F8" s="130" t="s">
        <v>345</v>
      </c>
      <c r="G8" s="108" t="s">
        <v>346</v>
      </c>
      <c r="H8" s="108" t="s">
        <v>89</v>
      </c>
      <c r="I8" s="108" t="s">
        <v>345</v>
      </c>
      <c r="J8" s="131" t="s">
        <v>89</v>
      </c>
      <c r="K8" s="131" t="s">
        <v>89</v>
      </c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</row>
    <row r="9" spans="1:28" ht="14.25" customHeight="1" x14ac:dyDescent="0.25">
      <c r="A9" s="129" t="s">
        <v>411</v>
      </c>
      <c r="B9" s="108" t="s">
        <v>88</v>
      </c>
      <c r="C9" s="42">
        <v>155</v>
      </c>
      <c r="D9" s="108">
        <v>156</v>
      </c>
      <c r="E9" s="107">
        <v>44354</v>
      </c>
      <c r="F9" s="130" t="s">
        <v>345</v>
      </c>
      <c r="G9" s="108" t="s">
        <v>346</v>
      </c>
      <c r="H9" s="108" t="s">
        <v>89</v>
      </c>
      <c r="I9" s="108" t="s">
        <v>345</v>
      </c>
      <c r="J9" s="131" t="s">
        <v>89</v>
      </c>
      <c r="K9" s="131" t="s">
        <v>89</v>
      </c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</row>
    <row r="10" spans="1:28" ht="14.25" customHeight="1" x14ac:dyDescent="0.25">
      <c r="A10" s="129" t="s">
        <v>412</v>
      </c>
      <c r="B10" s="98" t="s">
        <v>93</v>
      </c>
      <c r="C10" s="42">
        <v>1</v>
      </c>
      <c r="D10" s="98">
        <v>2</v>
      </c>
      <c r="E10" s="107">
        <v>44357</v>
      </c>
      <c r="F10" s="130" t="s">
        <v>345</v>
      </c>
      <c r="G10" s="108" t="s">
        <v>346</v>
      </c>
      <c r="H10" s="108" t="s">
        <v>89</v>
      </c>
      <c r="I10" s="108" t="s">
        <v>345</v>
      </c>
      <c r="J10" s="131" t="s">
        <v>89</v>
      </c>
      <c r="K10" s="131" t="s">
        <v>89</v>
      </c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</row>
    <row r="11" spans="1:28" ht="14.25" customHeight="1" x14ac:dyDescent="0.25">
      <c r="A11" s="129" t="s">
        <v>413</v>
      </c>
      <c r="B11" s="98" t="s">
        <v>93</v>
      </c>
      <c r="C11" s="42">
        <v>66</v>
      </c>
      <c r="D11" s="98">
        <v>67</v>
      </c>
      <c r="E11" s="107">
        <v>44359</v>
      </c>
      <c r="F11" s="130" t="s">
        <v>345</v>
      </c>
      <c r="G11" s="108" t="s">
        <v>346</v>
      </c>
      <c r="H11" s="108" t="s">
        <v>89</v>
      </c>
      <c r="I11" s="108" t="s">
        <v>345</v>
      </c>
      <c r="J11" s="131" t="s">
        <v>89</v>
      </c>
      <c r="K11" s="131" t="s">
        <v>89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</row>
    <row r="12" spans="1:28" ht="14.25" customHeight="1" x14ac:dyDescent="0.25">
      <c r="A12" s="129" t="s">
        <v>414</v>
      </c>
      <c r="B12" s="98" t="s">
        <v>88</v>
      </c>
      <c r="C12" s="132" t="s">
        <v>89</v>
      </c>
      <c r="D12" s="98" t="s">
        <v>89</v>
      </c>
      <c r="E12" s="107">
        <v>44362</v>
      </c>
      <c r="F12" s="130" t="s">
        <v>345</v>
      </c>
      <c r="G12" s="108" t="s">
        <v>346</v>
      </c>
      <c r="H12" s="108" t="s">
        <v>89</v>
      </c>
      <c r="I12" s="108" t="s">
        <v>345</v>
      </c>
      <c r="J12" s="131" t="s">
        <v>89</v>
      </c>
      <c r="K12" s="131" t="s">
        <v>89</v>
      </c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</row>
    <row r="13" spans="1:28" ht="14.25" customHeight="1" x14ac:dyDescent="0.25">
      <c r="A13" s="129" t="s">
        <v>415</v>
      </c>
      <c r="B13" s="98" t="s">
        <v>93</v>
      </c>
      <c r="C13" s="42">
        <v>38</v>
      </c>
      <c r="D13" s="98">
        <v>39</v>
      </c>
      <c r="E13" s="107">
        <v>44363</v>
      </c>
      <c r="F13" s="130" t="s">
        <v>345</v>
      </c>
      <c r="G13" s="108" t="s">
        <v>346</v>
      </c>
      <c r="H13" s="108" t="s">
        <v>89</v>
      </c>
      <c r="I13" s="108" t="s">
        <v>345</v>
      </c>
      <c r="J13" s="131" t="s">
        <v>89</v>
      </c>
      <c r="K13" s="133" t="s">
        <v>89</v>
      </c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</row>
    <row r="14" spans="1:28" ht="14.25" customHeight="1" x14ac:dyDescent="0.25">
      <c r="A14" s="129" t="s">
        <v>416</v>
      </c>
      <c r="B14" s="98" t="s">
        <v>88</v>
      </c>
      <c r="C14" s="42">
        <v>103</v>
      </c>
      <c r="D14" s="98">
        <v>104</v>
      </c>
      <c r="E14" s="107">
        <v>44363</v>
      </c>
      <c r="F14" s="130" t="s">
        <v>345</v>
      </c>
      <c r="G14" s="108" t="s">
        <v>346</v>
      </c>
      <c r="H14" s="108" t="s">
        <v>89</v>
      </c>
      <c r="I14" s="108" t="s">
        <v>345</v>
      </c>
      <c r="J14" s="131" t="s">
        <v>89</v>
      </c>
      <c r="K14" s="133" t="s">
        <v>89</v>
      </c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</row>
    <row r="15" spans="1:28" ht="14.25" customHeight="1" x14ac:dyDescent="0.25">
      <c r="A15" s="129" t="s">
        <v>417</v>
      </c>
      <c r="B15" s="98" t="s">
        <v>93</v>
      </c>
      <c r="C15" s="42">
        <v>45</v>
      </c>
      <c r="D15" s="98">
        <v>46</v>
      </c>
      <c r="E15" s="107">
        <v>44374</v>
      </c>
      <c r="F15" s="130" t="s">
        <v>345</v>
      </c>
      <c r="G15" s="108" t="s">
        <v>346</v>
      </c>
      <c r="H15" s="108" t="s">
        <v>89</v>
      </c>
      <c r="I15" s="108" t="s">
        <v>345</v>
      </c>
      <c r="J15" s="131" t="s">
        <v>89</v>
      </c>
      <c r="K15" s="133" t="s">
        <v>89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</row>
    <row r="16" spans="1:28" ht="14.25" customHeight="1" x14ac:dyDescent="0.25">
      <c r="A16" s="129" t="s">
        <v>418</v>
      </c>
      <c r="B16" s="98" t="s">
        <v>93</v>
      </c>
      <c r="C16" s="42">
        <v>100</v>
      </c>
      <c r="D16" s="98">
        <v>101</v>
      </c>
      <c r="E16" s="107">
        <v>44371</v>
      </c>
      <c r="F16" s="130" t="s">
        <v>345</v>
      </c>
      <c r="G16" s="108" t="s">
        <v>346</v>
      </c>
      <c r="H16" s="108" t="s">
        <v>89</v>
      </c>
      <c r="I16" s="108" t="s">
        <v>345</v>
      </c>
      <c r="J16" s="131" t="s">
        <v>89</v>
      </c>
      <c r="K16" s="133" t="s">
        <v>89</v>
      </c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</row>
    <row r="17" spans="1:28" ht="14.25" customHeight="1" x14ac:dyDescent="0.25">
      <c r="A17" s="134"/>
      <c r="B17" s="124"/>
      <c r="C17" s="135"/>
      <c r="D17" s="124"/>
      <c r="E17" s="136"/>
      <c r="F17" s="134"/>
      <c r="G17" s="134"/>
      <c r="H17" s="134"/>
      <c r="I17" s="134"/>
      <c r="J17" s="134"/>
      <c r="K17" s="13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</row>
    <row r="18" spans="1:28" ht="14.25" customHeight="1" x14ac:dyDescent="0.25">
      <c r="A18" s="124"/>
      <c r="B18" s="124"/>
      <c r="C18" s="135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</row>
    <row r="19" spans="1:28" ht="14.25" customHeight="1" x14ac:dyDescent="0.25">
      <c r="A19" s="124"/>
      <c r="B19" s="124"/>
      <c r="C19" s="135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</row>
    <row r="20" spans="1:28" ht="14.25" customHeight="1" x14ac:dyDescent="0.25">
      <c r="A20" s="124"/>
      <c r="B20" s="124"/>
      <c r="C20" s="13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</row>
    <row r="21" spans="1:28" ht="14.25" customHeight="1" x14ac:dyDescent="0.25">
      <c r="A21" s="124"/>
      <c r="B21" s="124"/>
      <c r="C21" s="135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</row>
    <row r="22" spans="1:28" ht="14.25" customHeight="1" x14ac:dyDescent="0.25">
      <c r="A22" s="124"/>
      <c r="B22" s="124"/>
      <c r="C22" s="135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</row>
    <row r="23" spans="1:28" ht="14.25" customHeight="1" x14ac:dyDescent="0.25">
      <c r="C23" s="9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</row>
    <row r="24" spans="1:28" ht="14.25" customHeight="1" x14ac:dyDescent="0.25">
      <c r="A24" s="124"/>
      <c r="B24" s="124"/>
      <c r="C24" s="135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</row>
    <row r="25" spans="1:28" ht="14.25" customHeight="1" x14ac:dyDescent="0.25">
      <c r="A25" s="124"/>
      <c r="B25" s="124"/>
      <c r="C25" s="135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</row>
    <row r="26" spans="1:28" ht="14.25" customHeight="1" x14ac:dyDescent="0.25">
      <c r="A26" s="124"/>
      <c r="B26" s="124"/>
      <c r="C26" s="135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</row>
    <row r="27" spans="1:28" ht="14.25" customHeight="1" x14ac:dyDescent="0.25">
      <c r="A27" s="124"/>
      <c r="B27" s="124"/>
      <c r="C27" s="135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</row>
    <row r="28" spans="1:28" ht="14.25" customHeight="1" x14ac:dyDescent="0.25">
      <c r="A28" s="124"/>
      <c r="B28" s="124"/>
      <c r="C28" s="135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</row>
    <row r="29" spans="1:28" ht="14.25" customHeight="1" x14ac:dyDescent="0.25">
      <c r="A29" s="124"/>
      <c r="B29" s="124"/>
      <c r="C29" s="135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</row>
    <row r="30" spans="1:28" ht="14.25" customHeight="1" x14ac:dyDescent="0.25">
      <c r="A30" s="124"/>
      <c r="B30" s="124"/>
      <c r="C30" s="135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</row>
    <row r="31" spans="1:28" ht="14.25" customHeight="1" x14ac:dyDescent="0.25">
      <c r="A31" s="124"/>
      <c r="B31" s="124"/>
      <c r="C31" s="135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</row>
    <row r="32" spans="1:28" ht="14.25" customHeight="1" x14ac:dyDescent="0.25">
      <c r="A32" s="124"/>
      <c r="B32" s="124"/>
      <c r="C32" s="135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</row>
    <row r="33" spans="1:28" ht="14.25" customHeight="1" x14ac:dyDescent="0.25">
      <c r="A33" s="124"/>
      <c r="B33" s="124"/>
      <c r="C33" s="135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</row>
    <row r="34" spans="1:28" ht="14.25" customHeight="1" x14ac:dyDescent="0.25">
      <c r="A34" s="124"/>
      <c r="B34" s="124"/>
      <c r="C34" s="135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</row>
    <row r="35" spans="1:28" ht="14.25" customHeight="1" x14ac:dyDescent="0.25">
      <c r="A35" s="124"/>
      <c r="B35" s="124"/>
      <c r="C35" s="135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</row>
    <row r="36" spans="1:28" ht="14.25" customHeight="1" x14ac:dyDescent="0.25">
      <c r="A36" s="124"/>
      <c r="B36" s="124"/>
      <c r="C36" s="135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</row>
    <row r="37" spans="1:28" ht="14.25" customHeight="1" x14ac:dyDescent="0.25">
      <c r="A37" s="124"/>
      <c r="B37" s="124"/>
      <c r="C37" s="135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</row>
    <row r="38" spans="1:28" ht="14.25" customHeight="1" x14ac:dyDescent="0.25">
      <c r="A38" s="124"/>
      <c r="B38" s="124"/>
      <c r="C38" s="135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</row>
    <row r="39" spans="1:28" ht="14.25" customHeight="1" x14ac:dyDescent="0.25">
      <c r="A39" s="124"/>
      <c r="B39" s="124"/>
      <c r="C39" s="135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</row>
    <row r="40" spans="1:28" ht="14.25" customHeight="1" x14ac:dyDescent="0.25">
      <c r="A40" s="124"/>
      <c r="B40" s="124"/>
      <c r="C40" s="135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</row>
    <row r="41" spans="1:28" ht="14.25" customHeight="1" x14ac:dyDescent="0.25">
      <c r="A41" s="124"/>
      <c r="B41" s="124"/>
      <c r="C41" s="13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</row>
    <row r="42" spans="1:28" ht="14.25" customHeight="1" x14ac:dyDescent="0.25">
      <c r="A42" s="124"/>
      <c r="B42" s="124"/>
      <c r="C42" s="13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</row>
    <row r="43" spans="1:28" ht="14.25" customHeight="1" x14ac:dyDescent="0.25">
      <c r="A43" s="124"/>
      <c r="B43" s="124"/>
      <c r="C43" s="13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</row>
    <row r="44" spans="1:28" ht="14.25" customHeight="1" x14ac:dyDescent="0.25">
      <c r="A44" s="124"/>
      <c r="B44" s="124"/>
      <c r="C44" s="13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</row>
    <row r="45" spans="1:28" ht="14.25" customHeight="1" x14ac:dyDescent="0.25">
      <c r="A45" s="124"/>
      <c r="B45" s="124"/>
      <c r="C45" s="13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</row>
    <row r="46" spans="1:28" ht="14.25" customHeight="1" x14ac:dyDescent="0.25">
      <c r="A46" s="124"/>
      <c r="B46" s="124"/>
      <c r="C46" s="13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</row>
    <row r="47" spans="1:28" ht="14.25" customHeight="1" x14ac:dyDescent="0.25">
      <c r="A47" s="124"/>
      <c r="B47" s="124"/>
      <c r="C47" s="13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</row>
    <row r="48" spans="1:28" ht="14.25" customHeight="1" x14ac:dyDescent="0.25">
      <c r="A48" s="124"/>
      <c r="B48" s="124"/>
      <c r="C48" s="13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</row>
    <row r="49" spans="1:28" ht="14.25" customHeight="1" x14ac:dyDescent="0.25">
      <c r="A49" s="124"/>
      <c r="B49" s="124"/>
      <c r="C49" s="13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</row>
    <row r="50" spans="1:28" ht="14.25" customHeight="1" x14ac:dyDescent="0.25">
      <c r="A50" s="124"/>
      <c r="B50" s="124"/>
      <c r="C50" s="13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</row>
    <row r="51" spans="1:28" ht="14.25" customHeight="1" x14ac:dyDescent="0.25">
      <c r="A51" s="124"/>
      <c r="B51" s="124"/>
      <c r="C51" s="135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</row>
    <row r="52" spans="1:28" ht="14.25" customHeight="1" x14ac:dyDescent="0.25">
      <c r="A52" s="124"/>
      <c r="B52" s="124"/>
      <c r="C52" s="135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</row>
    <row r="53" spans="1:28" ht="14.25" customHeight="1" x14ac:dyDescent="0.25">
      <c r="A53" s="124"/>
      <c r="B53" s="124"/>
      <c r="C53" s="13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</row>
    <row r="54" spans="1:28" ht="14.25" customHeight="1" x14ac:dyDescent="0.25">
      <c r="A54" s="124"/>
      <c r="B54" s="124"/>
      <c r="C54" s="13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</row>
    <row r="55" spans="1:28" ht="14.25" customHeight="1" x14ac:dyDescent="0.25">
      <c r="A55" s="124"/>
      <c r="B55" s="124"/>
      <c r="C55" s="13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</row>
    <row r="56" spans="1:28" ht="14.25" customHeight="1" x14ac:dyDescent="0.25">
      <c r="A56" s="124"/>
      <c r="B56" s="124"/>
      <c r="C56" s="135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</row>
    <row r="57" spans="1:28" ht="14.25" customHeight="1" x14ac:dyDescent="0.25">
      <c r="A57" s="124"/>
      <c r="B57" s="124"/>
      <c r="C57" s="135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</row>
    <row r="58" spans="1:28" ht="14.25" customHeight="1" x14ac:dyDescent="0.25">
      <c r="A58" s="124"/>
      <c r="B58" s="124"/>
      <c r="C58" s="135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</row>
    <row r="59" spans="1:28" ht="14.25" customHeight="1" x14ac:dyDescent="0.25">
      <c r="A59" s="124"/>
      <c r="B59" s="124"/>
      <c r="C59" s="135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</row>
    <row r="60" spans="1:28" ht="14.25" customHeight="1" x14ac:dyDescent="0.25">
      <c r="A60" s="124"/>
      <c r="B60" s="124"/>
      <c r="C60" s="135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</row>
    <row r="61" spans="1:28" ht="14.25" customHeight="1" x14ac:dyDescent="0.25">
      <c r="A61" s="124"/>
      <c r="B61" s="124"/>
      <c r="C61" s="135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</row>
    <row r="62" spans="1:28" ht="14.25" customHeight="1" x14ac:dyDescent="0.25">
      <c r="A62" s="124"/>
      <c r="B62" s="124"/>
      <c r="C62" s="13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</row>
    <row r="63" spans="1:28" ht="14.25" customHeight="1" x14ac:dyDescent="0.25">
      <c r="A63" s="124"/>
      <c r="B63" s="124"/>
      <c r="C63" s="13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</row>
    <row r="64" spans="1:28" ht="14.25" customHeight="1" x14ac:dyDescent="0.25">
      <c r="A64" s="124"/>
      <c r="B64" s="124"/>
      <c r="C64" s="13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</row>
    <row r="65" spans="1:28" ht="14.25" customHeight="1" x14ac:dyDescent="0.25">
      <c r="A65" s="124"/>
      <c r="B65" s="124"/>
      <c r="C65" s="135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</row>
    <row r="66" spans="1:28" ht="14.25" customHeight="1" x14ac:dyDescent="0.25">
      <c r="A66" s="124"/>
      <c r="B66" s="124"/>
      <c r="C66" s="135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</row>
    <row r="67" spans="1:28" ht="14.25" customHeight="1" x14ac:dyDescent="0.25">
      <c r="A67" s="124"/>
      <c r="B67" s="124"/>
      <c r="C67" s="13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</row>
    <row r="68" spans="1:28" ht="14.25" customHeight="1" x14ac:dyDescent="0.25">
      <c r="A68" s="124"/>
      <c r="B68" s="124"/>
      <c r="C68" s="135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</row>
    <row r="69" spans="1:28" ht="14.25" customHeight="1" x14ac:dyDescent="0.25">
      <c r="A69" s="124"/>
      <c r="B69" s="124"/>
      <c r="C69" s="135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</row>
    <row r="70" spans="1:28" ht="14.25" customHeight="1" x14ac:dyDescent="0.25">
      <c r="A70" s="124"/>
      <c r="B70" s="124"/>
      <c r="C70" s="135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</row>
    <row r="71" spans="1:28" ht="14.25" customHeight="1" x14ac:dyDescent="0.25">
      <c r="A71" s="124"/>
      <c r="B71" s="124"/>
      <c r="C71" s="135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</row>
    <row r="72" spans="1:28" ht="14.25" customHeight="1" x14ac:dyDescent="0.25">
      <c r="A72" s="124"/>
      <c r="B72" s="124"/>
      <c r="C72" s="135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</row>
    <row r="73" spans="1:28" ht="14.25" customHeight="1" x14ac:dyDescent="0.25">
      <c r="A73" s="124"/>
      <c r="B73" s="124"/>
      <c r="C73" s="135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</row>
    <row r="74" spans="1:28" ht="14.25" customHeight="1" x14ac:dyDescent="0.25">
      <c r="A74" s="124"/>
      <c r="B74" s="124"/>
      <c r="C74" s="135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</row>
    <row r="75" spans="1:28" ht="14.25" customHeight="1" x14ac:dyDescent="0.25">
      <c r="A75" s="124"/>
      <c r="B75" s="124"/>
      <c r="C75" s="135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</row>
    <row r="76" spans="1:28" ht="14.25" customHeight="1" x14ac:dyDescent="0.25">
      <c r="A76" s="124"/>
      <c r="B76" s="124"/>
      <c r="C76" s="135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</row>
    <row r="77" spans="1:28" ht="14.25" customHeight="1" x14ac:dyDescent="0.25">
      <c r="A77" s="124"/>
      <c r="B77" s="124"/>
      <c r="C77" s="135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</row>
    <row r="78" spans="1:28" ht="14.25" customHeight="1" x14ac:dyDescent="0.25">
      <c r="A78" s="124"/>
      <c r="B78" s="124"/>
      <c r="C78" s="135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</row>
    <row r="79" spans="1:28" ht="14.25" customHeight="1" x14ac:dyDescent="0.25">
      <c r="A79" s="124"/>
      <c r="B79" s="124"/>
      <c r="C79" s="135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</row>
    <row r="80" spans="1:28" ht="14.25" customHeight="1" x14ac:dyDescent="0.25">
      <c r="A80" s="124"/>
      <c r="B80" s="124"/>
      <c r="C80" s="135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</row>
    <row r="81" spans="1:28" ht="14.25" customHeight="1" x14ac:dyDescent="0.25">
      <c r="A81" s="124"/>
      <c r="B81" s="124"/>
      <c r="C81" s="135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</row>
    <row r="82" spans="1:28" ht="14.25" customHeight="1" x14ac:dyDescent="0.25">
      <c r="A82" s="124"/>
      <c r="B82" s="124"/>
      <c r="C82" s="135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</row>
    <row r="83" spans="1:28" ht="14.25" customHeight="1" x14ac:dyDescent="0.25">
      <c r="A83" s="124"/>
      <c r="B83" s="124"/>
      <c r="C83" s="135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</row>
    <row r="84" spans="1:28" ht="14.25" customHeight="1" x14ac:dyDescent="0.25">
      <c r="A84" s="124"/>
      <c r="B84" s="124"/>
      <c r="C84" s="135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</row>
    <row r="85" spans="1:28" ht="14.25" customHeight="1" x14ac:dyDescent="0.25">
      <c r="A85" s="124"/>
      <c r="B85" s="124"/>
      <c r="C85" s="135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</row>
    <row r="86" spans="1:28" ht="14.25" customHeight="1" x14ac:dyDescent="0.25">
      <c r="A86" s="124"/>
      <c r="B86" s="124"/>
      <c r="C86" s="135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</row>
    <row r="87" spans="1:28" ht="14.25" customHeight="1" x14ac:dyDescent="0.25">
      <c r="A87" s="124"/>
      <c r="B87" s="124"/>
      <c r="C87" s="135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</row>
    <row r="88" spans="1:28" ht="14.25" customHeight="1" x14ac:dyDescent="0.25">
      <c r="A88" s="124"/>
      <c r="B88" s="124"/>
      <c r="C88" s="135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</row>
    <row r="89" spans="1:28" ht="14.25" customHeight="1" x14ac:dyDescent="0.25">
      <c r="A89" s="124"/>
      <c r="B89" s="124"/>
      <c r="C89" s="135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</row>
    <row r="90" spans="1:28" ht="14.25" customHeight="1" x14ac:dyDescent="0.25">
      <c r="A90" s="124"/>
      <c r="B90" s="124"/>
      <c r="C90" s="135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</row>
    <row r="91" spans="1:28" ht="14.25" customHeight="1" x14ac:dyDescent="0.25">
      <c r="A91" s="124"/>
      <c r="B91" s="124"/>
      <c r="C91" s="135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</row>
    <row r="92" spans="1:28" ht="14.25" customHeight="1" x14ac:dyDescent="0.25">
      <c r="A92" s="124"/>
      <c r="B92" s="124"/>
      <c r="C92" s="135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</row>
    <row r="93" spans="1:28" ht="14.25" customHeight="1" x14ac:dyDescent="0.25">
      <c r="A93" s="124"/>
      <c r="B93" s="124"/>
      <c r="C93" s="135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</row>
    <row r="94" spans="1:28" ht="14.25" customHeight="1" x14ac:dyDescent="0.25">
      <c r="A94" s="124"/>
      <c r="B94" s="124"/>
      <c r="C94" s="135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</row>
    <row r="95" spans="1:28" ht="14.25" customHeight="1" x14ac:dyDescent="0.25">
      <c r="A95" s="124"/>
      <c r="B95" s="124"/>
      <c r="C95" s="135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</row>
    <row r="96" spans="1:28" ht="14.25" customHeight="1" x14ac:dyDescent="0.25">
      <c r="A96" s="124"/>
      <c r="B96" s="124"/>
      <c r="C96" s="135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</row>
    <row r="97" spans="1:28" ht="14.25" customHeight="1" x14ac:dyDescent="0.25">
      <c r="A97" s="124"/>
      <c r="B97" s="124"/>
      <c r="C97" s="135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</row>
    <row r="98" spans="1:28" ht="14.25" customHeight="1" x14ac:dyDescent="0.25">
      <c r="A98" s="124"/>
      <c r="B98" s="124"/>
      <c r="C98" s="135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</row>
    <row r="99" spans="1:28" ht="14.25" customHeight="1" x14ac:dyDescent="0.25">
      <c r="A99" s="124"/>
      <c r="B99" s="124"/>
      <c r="C99" s="135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</row>
    <row r="100" spans="1:28" ht="14.25" customHeight="1" x14ac:dyDescent="0.25">
      <c r="A100" s="124"/>
      <c r="B100" s="124"/>
      <c r="C100" s="135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</row>
    <row r="101" spans="1:28" ht="14.25" customHeight="1" x14ac:dyDescent="0.25">
      <c r="A101" s="124"/>
      <c r="B101" s="124"/>
      <c r="C101" s="135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</row>
    <row r="102" spans="1:28" ht="14.25" customHeight="1" x14ac:dyDescent="0.25">
      <c r="A102" s="124"/>
      <c r="B102" s="124"/>
      <c r="C102" s="135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</row>
    <row r="103" spans="1:28" ht="14.25" customHeight="1" x14ac:dyDescent="0.25">
      <c r="A103" s="124"/>
      <c r="B103" s="124"/>
      <c r="C103" s="135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</row>
    <row r="104" spans="1:28" ht="14.25" customHeight="1" x14ac:dyDescent="0.25">
      <c r="A104" s="124"/>
      <c r="B104" s="124"/>
      <c r="C104" s="135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</row>
    <row r="105" spans="1:28" ht="14.25" customHeight="1" x14ac:dyDescent="0.25">
      <c r="A105" s="124"/>
      <c r="B105" s="124"/>
      <c r="C105" s="135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</row>
    <row r="106" spans="1:28" ht="14.25" customHeight="1" x14ac:dyDescent="0.25">
      <c r="A106" s="124"/>
      <c r="B106" s="124"/>
      <c r="C106" s="135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</row>
    <row r="107" spans="1:28" ht="14.25" customHeight="1" x14ac:dyDescent="0.25">
      <c r="A107" s="124"/>
      <c r="B107" s="124"/>
      <c r="C107" s="135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</row>
    <row r="108" spans="1:28" ht="14.25" customHeight="1" x14ac:dyDescent="0.25">
      <c r="A108" s="124"/>
      <c r="B108" s="124"/>
      <c r="C108" s="135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</row>
    <row r="109" spans="1:28" ht="14.25" customHeight="1" x14ac:dyDescent="0.25">
      <c r="A109" s="124"/>
      <c r="B109" s="124"/>
      <c r="C109" s="135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</row>
    <row r="110" spans="1:28" ht="14.25" customHeight="1" x14ac:dyDescent="0.25">
      <c r="A110" s="124"/>
      <c r="B110" s="124"/>
      <c r="C110" s="135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</row>
    <row r="111" spans="1:28" ht="14.25" customHeight="1" x14ac:dyDescent="0.25">
      <c r="A111" s="124"/>
      <c r="B111" s="124"/>
      <c r="C111" s="135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</row>
    <row r="112" spans="1:28" ht="14.25" customHeight="1" x14ac:dyDescent="0.25">
      <c r="A112" s="124"/>
      <c r="B112" s="124"/>
      <c r="C112" s="135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</row>
    <row r="113" spans="1:28" ht="14.25" customHeight="1" x14ac:dyDescent="0.25">
      <c r="A113" s="124"/>
      <c r="B113" s="124"/>
      <c r="C113" s="135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</row>
    <row r="114" spans="1:28" ht="14.25" customHeight="1" x14ac:dyDescent="0.25">
      <c r="A114" s="124"/>
      <c r="B114" s="124"/>
      <c r="C114" s="135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</row>
    <row r="115" spans="1:28" ht="14.25" customHeight="1" x14ac:dyDescent="0.25">
      <c r="A115" s="124"/>
      <c r="B115" s="124"/>
      <c r="C115" s="135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</row>
    <row r="116" spans="1:28" ht="14.25" customHeight="1" x14ac:dyDescent="0.25">
      <c r="A116" s="124"/>
      <c r="B116" s="124"/>
      <c r="C116" s="135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</row>
    <row r="117" spans="1:28" ht="14.25" customHeight="1" x14ac:dyDescent="0.25">
      <c r="A117" s="124"/>
      <c r="B117" s="124"/>
      <c r="C117" s="135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</row>
    <row r="118" spans="1:28" ht="14.25" customHeight="1" x14ac:dyDescent="0.25">
      <c r="A118" s="124"/>
      <c r="B118" s="124"/>
      <c r="C118" s="135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</row>
    <row r="119" spans="1:28" ht="14.25" customHeight="1" x14ac:dyDescent="0.25">
      <c r="A119" s="124"/>
      <c r="B119" s="124"/>
      <c r="C119" s="135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</row>
    <row r="120" spans="1:28" ht="14.25" customHeight="1" x14ac:dyDescent="0.25">
      <c r="A120" s="124"/>
      <c r="B120" s="124"/>
      <c r="C120" s="135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</row>
    <row r="121" spans="1:28" ht="14.25" customHeight="1" x14ac:dyDescent="0.25">
      <c r="A121" s="124"/>
      <c r="B121" s="124"/>
      <c r="C121" s="135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</row>
    <row r="122" spans="1:28" ht="14.25" customHeight="1" x14ac:dyDescent="0.25">
      <c r="A122" s="124"/>
      <c r="B122" s="124"/>
      <c r="C122" s="135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</row>
    <row r="123" spans="1:28" ht="14.25" customHeight="1" x14ac:dyDescent="0.25">
      <c r="A123" s="124"/>
      <c r="B123" s="124"/>
      <c r="C123" s="135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</row>
    <row r="124" spans="1:28" ht="14.25" customHeight="1" x14ac:dyDescent="0.25">
      <c r="A124" s="124"/>
      <c r="B124" s="124"/>
      <c r="C124" s="135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</row>
    <row r="125" spans="1:28" ht="14.25" customHeight="1" x14ac:dyDescent="0.25">
      <c r="A125" s="124"/>
      <c r="B125" s="124"/>
      <c r="C125" s="135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</row>
    <row r="126" spans="1:28" ht="14.25" customHeight="1" x14ac:dyDescent="0.25">
      <c r="A126" s="124"/>
      <c r="B126" s="124"/>
      <c r="C126" s="135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</row>
    <row r="127" spans="1:28" ht="14.25" customHeight="1" x14ac:dyDescent="0.25">
      <c r="A127" s="124"/>
      <c r="B127" s="124"/>
      <c r="C127" s="135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</row>
    <row r="128" spans="1:28" ht="14.25" customHeight="1" x14ac:dyDescent="0.25">
      <c r="A128" s="124"/>
      <c r="B128" s="124"/>
      <c r="C128" s="135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</row>
    <row r="129" spans="1:28" ht="14.25" customHeight="1" x14ac:dyDescent="0.25">
      <c r="A129" s="124"/>
      <c r="B129" s="124"/>
      <c r="C129" s="135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</row>
    <row r="130" spans="1:28" ht="14.25" customHeight="1" x14ac:dyDescent="0.25">
      <c r="A130" s="124"/>
      <c r="B130" s="124"/>
      <c r="C130" s="135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</row>
    <row r="131" spans="1:28" ht="14.25" customHeight="1" x14ac:dyDescent="0.25">
      <c r="A131" s="124"/>
      <c r="B131" s="124"/>
      <c r="C131" s="135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4"/>
    </row>
    <row r="132" spans="1:28" ht="14.25" customHeight="1" x14ac:dyDescent="0.25">
      <c r="A132" s="124"/>
      <c r="B132" s="124"/>
      <c r="C132" s="135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</row>
    <row r="133" spans="1:28" ht="14.25" customHeight="1" x14ac:dyDescent="0.25">
      <c r="A133" s="124"/>
      <c r="B133" s="124"/>
      <c r="C133" s="135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</row>
    <row r="134" spans="1:28" ht="14.25" customHeight="1" x14ac:dyDescent="0.25">
      <c r="A134" s="124"/>
      <c r="B134" s="124"/>
      <c r="C134" s="135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</row>
    <row r="135" spans="1:28" ht="14.25" customHeight="1" x14ac:dyDescent="0.25">
      <c r="A135" s="124"/>
      <c r="B135" s="124"/>
      <c r="C135" s="135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</row>
    <row r="136" spans="1:28" ht="14.25" customHeight="1" x14ac:dyDescent="0.25">
      <c r="A136" s="124"/>
      <c r="B136" s="124"/>
      <c r="C136" s="135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</row>
    <row r="137" spans="1:28" ht="14.25" customHeight="1" x14ac:dyDescent="0.25">
      <c r="A137" s="124"/>
      <c r="B137" s="124"/>
      <c r="C137" s="135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</row>
    <row r="138" spans="1:28" ht="14.25" customHeight="1" x14ac:dyDescent="0.25">
      <c r="A138" s="124"/>
      <c r="B138" s="124"/>
      <c r="C138" s="135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</row>
    <row r="139" spans="1:28" ht="14.25" customHeight="1" x14ac:dyDescent="0.25">
      <c r="A139" s="124"/>
      <c r="B139" s="124"/>
      <c r="C139" s="135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</row>
    <row r="140" spans="1:28" ht="14.25" customHeight="1" x14ac:dyDescent="0.25">
      <c r="A140" s="124"/>
      <c r="B140" s="124"/>
      <c r="C140" s="135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</row>
    <row r="141" spans="1:28" ht="14.25" customHeight="1" x14ac:dyDescent="0.25">
      <c r="A141" s="124"/>
      <c r="B141" s="124"/>
      <c r="C141" s="135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</row>
    <row r="142" spans="1:28" ht="14.25" customHeight="1" x14ac:dyDescent="0.25">
      <c r="A142" s="124"/>
      <c r="B142" s="124"/>
      <c r="C142" s="135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</row>
    <row r="143" spans="1:28" ht="14.25" customHeight="1" x14ac:dyDescent="0.25">
      <c r="A143" s="124"/>
      <c r="B143" s="124"/>
      <c r="C143" s="135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</row>
    <row r="144" spans="1:28" ht="14.25" customHeight="1" x14ac:dyDescent="0.25">
      <c r="A144" s="124"/>
      <c r="B144" s="124"/>
      <c r="C144" s="135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</row>
    <row r="145" spans="1:28" ht="14.25" customHeight="1" x14ac:dyDescent="0.25">
      <c r="A145" s="124"/>
      <c r="B145" s="124"/>
      <c r="C145" s="135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</row>
    <row r="146" spans="1:28" ht="14.25" customHeight="1" x14ac:dyDescent="0.25">
      <c r="A146" s="124"/>
      <c r="B146" s="124"/>
      <c r="C146" s="135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</row>
    <row r="147" spans="1:28" ht="14.25" customHeight="1" x14ac:dyDescent="0.25">
      <c r="A147" s="124"/>
      <c r="B147" s="124"/>
      <c r="C147" s="135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</row>
    <row r="148" spans="1:28" ht="14.25" customHeight="1" x14ac:dyDescent="0.25">
      <c r="A148" s="124"/>
      <c r="B148" s="124"/>
      <c r="C148" s="135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</row>
    <row r="149" spans="1:28" ht="14.25" customHeight="1" x14ac:dyDescent="0.25">
      <c r="A149" s="124"/>
      <c r="B149" s="124"/>
      <c r="C149" s="135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</row>
    <row r="150" spans="1:28" ht="14.25" customHeight="1" x14ac:dyDescent="0.25">
      <c r="A150" s="124"/>
      <c r="B150" s="124"/>
      <c r="C150" s="135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</row>
    <row r="151" spans="1:28" ht="14.25" customHeight="1" x14ac:dyDescent="0.25">
      <c r="A151" s="124"/>
      <c r="B151" s="124"/>
      <c r="C151" s="135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</row>
    <row r="152" spans="1:28" ht="14.25" customHeight="1" x14ac:dyDescent="0.25">
      <c r="A152" s="124"/>
      <c r="B152" s="124"/>
      <c r="C152" s="135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</row>
    <row r="153" spans="1:28" ht="14.25" customHeight="1" x14ac:dyDescent="0.25">
      <c r="A153" s="124"/>
      <c r="B153" s="124"/>
      <c r="C153" s="135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</row>
    <row r="154" spans="1:28" ht="14.25" customHeight="1" x14ac:dyDescent="0.25">
      <c r="A154" s="124"/>
      <c r="B154" s="124"/>
      <c r="C154" s="135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</row>
    <row r="155" spans="1:28" ht="14.25" customHeight="1" x14ac:dyDescent="0.25">
      <c r="A155" s="124"/>
      <c r="B155" s="124"/>
      <c r="C155" s="135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</row>
    <row r="156" spans="1:28" ht="14.25" customHeight="1" x14ac:dyDescent="0.25">
      <c r="A156" s="124"/>
      <c r="B156" s="124"/>
      <c r="C156" s="135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</row>
    <row r="157" spans="1:28" ht="14.25" customHeight="1" x14ac:dyDescent="0.25">
      <c r="A157" s="124"/>
      <c r="B157" s="124"/>
      <c r="C157" s="135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</row>
    <row r="158" spans="1:28" ht="14.25" customHeight="1" x14ac:dyDescent="0.25">
      <c r="A158" s="124"/>
      <c r="B158" s="124"/>
      <c r="C158" s="135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</row>
    <row r="159" spans="1:28" ht="14.25" customHeight="1" x14ac:dyDescent="0.25">
      <c r="A159" s="124"/>
      <c r="B159" s="124"/>
      <c r="C159" s="135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</row>
    <row r="160" spans="1:28" ht="14.25" customHeight="1" x14ac:dyDescent="0.25">
      <c r="A160" s="124"/>
      <c r="B160" s="124"/>
      <c r="C160" s="135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</row>
    <row r="161" spans="1:28" ht="14.25" customHeight="1" x14ac:dyDescent="0.25">
      <c r="A161" s="124"/>
      <c r="B161" s="124"/>
      <c r="C161" s="135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</row>
    <row r="162" spans="1:28" ht="14.25" customHeight="1" x14ac:dyDescent="0.25">
      <c r="A162" s="124"/>
      <c r="B162" s="124"/>
      <c r="C162" s="135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</row>
    <row r="163" spans="1:28" ht="14.25" customHeight="1" x14ac:dyDescent="0.25">
      <c r="A163" s="124"/>
      <c r="B163" s="124"/>
      <c r="C163" s="135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</row>
    <row r="164" spans="1:28" ht="14.25" customHeight="1" x14ac:dyDescent="0.25">
      <c r="A164" s="124"/>
      <c r="B164" s="124"/>
      <c r="C164" s="135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</row>
    <row r="165" spans="1:28" ht="14.25" customHeight="1" x14ac:dyDescent="0.25">
      <c r="A165" s="124"/>
      <c r="B165" s="124"/>
      <c r="C165" s="135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</row>
    <row r="166" spans="1:28" ht="14.25" customHeight="1" x14ac:dyDescent="0.25">
      <c r="A166" s="124"/>
      <c r="B166" s="124"/>
      <c r="C166" s="135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</row>
    <row r="167" spans="1:28" ht="14.25" customHeight="1" x14ac:dyDescent="0.25">
      <c r="A167" s="124"/>
      <c r="B167" s="124"/>
      <c r="C167" s="135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</row>
    <row r="168" spans="1:28" ht="14.25" customHeight="1" x14ac:dyDescent="0.25">
      <c r="A168" s="124"/>
      <c r="B168" s="124"/>
      <c r="C168" s="135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</row>
    <row r="169" spans="1:28" ht="14.25" customHeight="1" x14ac:dyDescent="0.25">
      <c r="A169" s="124"/>
      <c r="B169" s="124"/>
      <c r="C169" s="135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</row>
    <row r="170" spans="1:28" ht="14.25" customHeight="1" x14ac:dyDescent="0.25">
      <c r="A170" s="124"/>
      <c r="B170" s="124"/>
      <c r="C170" s="135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</row>
    <row r="171" spans="1:28" ht="14.25" customHeight="1" x14ac:dyDescent="0.25">
      <c r="A171" s="124"/>
      <c r="B171" s="124"/>
      <c r="C171" s="135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</row>
    <row r="172" spans="1:28" ht="14.25" customHeight="1" x14ac:dyDescent="0.25">
      <c r="A172" s="124"/>
      <c r="B172" s="124"/>
      <c r="C172" s="135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</row>
    <row r="173" spans="1:28" ht="14.25" customHeight="1" x14ac:dyDescent="0.25">
      <c r="A173" s="124"/>
      <c r="B173" s="124"/>
      <c r="C173" s="135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</row>
    <row r="174" spans="1:28" ht="14.25" customHeight="1" x14ac:dyDescent="0.25">
      <c r="A174" s="124"/>
      <c r="B174" s="124"/>
      <c r="C174" s="135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</row>
    <row r="175" spans="1:28" ht="14.25" customHeight="1" x14ac:dyDescent="0.25">
      <c r="A175" s="124"/>
      <c r="B175" s="124"/>
      <c r="C175" s="135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</row>
    <row r="176" spans="1:28" ht="14.25" customHeight="1" x14ac:dyDescent="0.25">
      <c r="A176" s="124"/>
      <c r="B176" s="124"/>
      <c r="C176" s="135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</row>
    <row r="177" spans="1:28" ht="14.25" customHeight="1" x14ac:dyDescent="0.25">
      <c r="A177" s="124"/>
      <c r="B177" s="124"/>
      <c r="C177" s="135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</row>
    <row r="178" spans="1:28" ht="14.25" customHeight="1" x14ac:dyDescent="0.25">
      <c r="A178" s="124"/>
      <c r="B178" s="124"/>
      <c r="C178" s="135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</row>
    <row r="179" spans="1:28" ht="14.25" customHeight="1" x14ac:dyDescent="0.25">
      <c r="A179" s="124"/>
      <c r="B179" s="124"/>
      <c r="C179" s="135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</row>
    <row r="180" spans="1:28" ht="14.25" customHeight="1" x14ac:dyDescent="0.25">
      <c r="A180" s="124"/>
      <c r="B180" s="124"/>
      <c r="C180" s="135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</row>
    <row r="181" spans="1:28" ht="14.25" customHeight="1" x14ac:dyDescent="0.25">
      <c r="A181" s="124"/>
      <c r="B181" s="124"/>
      <c r="C181" s="135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</row>
    <row r="182" spans="1:28" ht="14.25" customHeight="1" x14ac:dyDescent="0.25">
      <c r="A182" s="124"/>
      <c r="B182" s="124"/>
      <c r="C182" s="135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</row>
    <row r="183" spans="1:28" ht="14.25" customHeight="1" x14ac:dyDescent="0.25">
      <c r="A183" s="124"/>
      <c r="B183" s="124"/>
      <c r="C183" s="135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</row>
    <row r="184" spans="1:28" ht="14.25" customHeight="1" x14ac:dyDescent="0.25">
      <c r="A184" s="124"/>
      <c r="B184" s="124"/>
      <c r="C184" s="135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</row>
    <row r="185" spans="1:28" ht="14.25" customHeight="1" x14ac:dyDescent="0.25">
      <c r="A185" s="124"/>
      <c r="B185" s="124"/>
      <c r="C185" s="135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</row>
    <row r="186" spans="1:28" ht="14.25" customHeight="1" x14ac:dyDescent="0.25">
      <c r="A186" s="124"/>
      <c r="B186" s="124"/>
      <c r="C186" s="135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</row>
    <row r="187" spans="1:28" ht="14.25" customHeight="1" x14ac:dyDescent="0.25">
      <c r="A187" s="124"/>
      <c r="B187" s="124"/>
      <c r="C187" s="135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</row>
    <row r="188" spans="1:28" ht="14.25" customHeight="1" x14ac:dyDescent="0.25">
      <c r="A188" s="124"/>
      <c r="B188" s="124"/>
      <c r="C188" s="135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</row>
    <row r="189" spans="1:28" ht="14.25" customHeight="1" x14ac:dyDescent="0.25">
      <c r="A189" s="124"/>
      <c r="B189" s="124"/>
      <c r="C189" s="135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</row>
    <row r="190" spans="1:28" ht="14.25" customHeight="1" x14ac:dyDescent="0.25">
      <c r="A190" s="124"/>
      <c r="B190" s="124"/>
      <c r="C190" s="135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</row>
    <row r="191" spans="1:28" ht="14.25" customHeight="1" x14ac:dyDescent="0.25">
      <c r="A191" s="124"/>
      <c r="B191" s="124"/>
      <c r="C191" s="135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</row>
    <row r="192" spans="1:28" ht="14.25" customHeight="1" x14ac:dyDescent="0.25">
      <c r="A192" s="124"/>
      <c r="B192" s="124"/>
      <c r="C192" s="135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</row>
    <row r="193" spans="1:28" ht="14.25" customHeight="1" x14ac:dyDescent="0.25">
      <c r="A193" s="124"/>
      <c r="B193" s="124"/>
      <c r="C193" s="135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</row>
    <row r="194" spans="1:28" ht="14.25" customHeight="1" x14ac:dyDescent="0.25">
      <c r="A194" s="124"/>
      <c r="B194" s="124"/>
      <c r="C194" s="135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</row>
    <row r="195" spans="1:28" ht="14.25" customHeight="1" x14ac:dyDescent="0.25">
      <c r="A195" s="124"/>
      <c r="B195" s="124"/>
      <c r="C195" s="135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</row>
    <row r="196" spans="1:28" ht="14.25" customHeight="1" x14ac:dyDescent="0.25">
      <c r="A196" s="124"/>
      <c r="B196" s="124"/>
      <c r="C196" s="135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</row>
    <row r="197" spans="1:28" ht="14.25" customHeight="1" x14ac:dyDescent="0.25">
      <c r="A197" s="124"/>
      <c r="B197" s="124"/>
      <c r="C197" s="135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</row>
    <row r="198" spans="1:28" ht="14.25" customHeight="1" x14ac:dyDescent="0.25">
      <c r="A198" s="124"/>
      <c r="B198" s="124"/>
      <c r="C198" s="135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</row>
    <row r="199" spans="1:28" ht="14.25" customHeight="1" x14ac:dyDescent="0.25">
      <c r="A199" s="124"/>
      <c r="B199" s="124"/>
      <c r="C199" s="135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</row>
    <row r="200" spans="1:28" ht="14.25" customHeight="1" x14ac:dyDescent="0.25">
      <c r="A200" s="124"/>
      <c r="B200" s="124"/>
      <c r="C200" s="135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</row>
    <row r="201" spans="1:28" ht="14.25" customHeight="1" x14ac:dyDescent="0.25">
      <c r="A201" s="124"/>
      <c r="B201" s="124"/>
      <c r="C201" s="135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</row>
    <row r="202" spans="1:28" ht="14.25" customHeight="1" x14ac:dyDescent="0.25">
      <c r="A202" s="124"/>
      <c r="B202" s="124"/>
      <c r="C202" s="135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</row>
    <row r="203" spans="1:28" ht="14.25" customHeight="1" x14ac:dyDescent="0.25">
      <c r="A203" s="124"/>
      <c r="B203" s="124"/>
      <c r="C203" s="135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</row>
    <row r="204" spans="1:28" ht="14.25" customHeight="1" x14ac:dyDescent="0.25">
      <c r="A204" s="124"/>
      <c r="B204" s="124"/>
      <c r="C204" s="135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</row>
    <row r="205" spans="1:28" ht="14.25" customHeight="1" x14ac:dyDescent="0.25">
      <c r="A205" s="124"/>
      <c r="B205" s="124"/>
      <c r="C205" s="135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</row>
    <row r="206" spans="1:28" ht="14.25" customHeight="1" x14ac:dyDescent="0.25">
      <c r="A206" s="124"/>
      <c r="B206" s="124"/>
      <c r="C206" s="135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</row>
    <row r="207" spans="1:28" ht="14.25" customHeight="1" x14ac:dyDescent="0.25">
      <c r="A207" s="124"/>
      <c r="B207" s="124"/>
      <c r="C207" s="135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</row>
    <row r="208" spans="1:28" ht="14.25" customHeight="1" x14ac:dyDescent="0.25">
      <c r="A208" s="124"/>
      <c r="B208" s="124"/>
      <c r="C208" s="135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</row>
    <row r="209" spans="1:28" ht="14.25" customHeight="1" x14ac:dyDescent="0.25">
      <c r="A209" s="124"/>
      <c r="B209" s="124"/>
      <c r="C209" s="135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</row>
    <row r="210" spans="1:28" ht="14.25" customHeight="1" x14ac:dyDescent="0.25">
      <c r="A210" s="124"/>
      <c r="B210" s="124"/>
      <c r="C210" s="135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</row>
    <row r="211" spans="1:28" ht="14.25" customHeight="1" x14ac:dyDescent="0.25">
      <c r="A211" s="124"/>
      <c r="B211" s="124"/>
      <c r="C211" s="135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</row>
    <row r="212" spans="1:28" ht="14.25" customHeight="1" x14ac:dyDescent="0.25">
      <c r="A212" s="124"/>
      <c r="B212" s="124"/>
      <c r="C212" s="135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</row>
    <row r="213" spans="1:28" ht="14.25" customHeight="1" x14ac:dyDescent="0.25">
      <c r="A213" s="124"/>
      <c r="B213" s="124"/>
      <c r="C213" s="135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</row>
    <row r="214" spans="1:28" ht="14.25" customHeight="1" x14ac:dyDescent="0.25">
      <c r="A214" s="124"/>
      <c r="B214" s="124"/>
      <c r="C214" s="135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</row>
    <row r="215" spans="1:28" ht="14.25" customHeight="1" x14ac:dyDescent="0.25">
      <c r="A215" s="124"/>
      <c r="B215" s="124"/>
      <c r="C215" s="135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</row>
    <row r="216" spans="1:28" ht="14.25" customHeight="1" x14ac:dyDescent="0.25">
      <c r="A216" s="124"/>
      <c r="B216" s="124"/>
      <c r="C216" s="135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</row>
    <row r="217" spans="1:28" ht="14.25" customHeight="1" x14ac:dyDescent="0.25">
      <c r="A217" s="124"/>
      <c r="B217" s="124"/>
      <c r="C217" s="135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</row>
    <row r="218" spans="1:28" ht="14.25" customHeight="1" x14ac:dyDescent="0.25">
      <c r="A218" s="124"/>
      <c r="B218" s="124"/>
      <c r="C218" s="135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</row>
    <row r="219" spans="1:28" ht="14.25" customHeight="1" x14ac:dyDescent="0.25">
      <c r="A219" s="124"/>
      <c r="B219" s="124"/>
      <c r="C219" s="135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</row>
    <row r="220" spans="1:28" ht="14.25" customHeight="1" x14ac:dyDescent="0.25">
      <c r="A220" s="124"/>
      <c r="B220" s="124"/>
      <c r="C220" s="135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</row>
    <row r="221" spans="1:28" ht="14.25" customHeight="1" x14ac:dyDescent="0.25">
      <c r="A221" s="124"/>
      <c r="B221" s="124"/>
      <c r="C221" s="135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</row>
    <row r="222" spans="1:28" ht="14.25" customHeight="1" x14ac:dyDescent="0.25">
      <c r="A222" s="124"/>
      <c r="B222" s="124"/>
      <c r="C222" s="135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</row>
    <row r="223" spans="1:28" ht="14.25" customHeight="1" x14ac:dyDescent="0.25">
      <c r="A223" s="124"/>
      <c r="B223" s="124"/>
      <c r="C223" s="135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</row>
    <row r="224" spans="1:28" ht="14.25" customHeight="1" x14ac:dyDescent="0.25">
      <c r="A224" s="124"/>
      <c r="B224" s="124"/>
      <c r="C224" s="135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</row>
    <row r="225" spans="1:28" ht="14.25" customHeight="1" x14ac:dyDescent="0.25">
      <c r="A225" s="124"/>
      <c r="B225" s="124"/>
      <c r="C225" s="135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</row>
    <row r="226" spans="1:28" ht="14.25" customHeight="1" x14ac:dyDescent="0.25">
      <c r="A226" s="124"/>
      <c r="B226" s="124"/>
      <c r="C226" s="135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</row>
    <row r="227" spans="1:28" ht="14.25" customHeight="1" x14ac:dyDescent="0.25">
      <c r="A227" s="124"/>
      <c r="B227" s="124"/>
      <c r="C227" s="135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</row>
    <row r="228" spans="1:28" ht="14.25" customHeight="1" x14ac:dyDescent="0.25">
      <c r="A228" s="124"/>
      <c r="B228" s="124"/>
      <c r="C228" s="135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</row>
    <row r="229" spans="1:28" ht="14.25" customHeight="1" x14ac:dyDescent="0.25">
      <c r="A229" s="124"/>
      <c r="B229" s="124"/>
      <c r="C229" s="135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</row>
    <row r="230" spans="1:28" ht="14.25" customHeight="1" x14ac:dyDescent="0.25">
      <c r="A230" s="124"/>
      <c r="B230" s="124"/>
      <c r="C230" s="135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</row>
    <row r="231" spans="1:28" ht="14.25" customHeight="1" x14ac:dyDescent="0.25">
      <c r="A231" s="124"/>
      <c r="B231" s="124"/>
      <c r="C231" s="135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</row>
    <row r="232" spans="1:28" ht="14.25" customHeight="1" x14ac:dyDescent="0.25">
      <c r="A232" s="124"/>
      <c r="B232" s="124"/>
      <c r="C232" s="135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</row>
    <row r="233" spans="1:28" ht="14.25" customHeight="1" x14ac:dyDescent="0.25">
      <c r="A233" s="124"/>
      <c r="B233" s="124"/>
      <c r="C233" s="135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</row>
    <row r="234" spans="1:28" ht="14.25" customHeight="1" x14ac:dyDescent="0.25">
      <c r="A234" s="124"/>
      <c r="B234" s="124"/>
      <c r="C234" s="135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</row>
    <row r="235" spans="1:28" ht="14.25" customHeight="1" x14ac:dyDescent="0.25">
      <c r="A235" s="124"/>
      <c r="B235" s="124"/>
      <c r="C235" s="135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</row>
    <row r="236" spans="1:28" ht="14.25" customHeight="1" x14ac:dyDescent="0.25">
      <c r="A236" s="124"/>
      <c r="B236" s="124"/>
      <c r="C236" s="135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</row>
    <row r="237" spans="1:28" ht="14.25" customHeight="1" x14ac:dyDescent="0.25">
      <c r="A237" s="124"/>
      <c r="B237" s="124"/>
      <c r="C237" s="135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</row>
    <row r="238" spans="1:28" ht="14.25" customHeight="1" x14ac:dyDescent="0.25">
      <c r="A238" s="124"/>
      <c r="B238" s="124"/>
      <c r="C238" s="135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</row>
    <row r="239" spans="1:28" ht="14.25" customHeight="1" x14ac:dyDescent="0.25">
      <c r="A239" s="124"/>
      <c r="B239" s="124"/>
      <c r="C239" s="135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</row>
    <row r="240" spans="1:28" ht="14.25" customHeight="1" x14ac:dyDescent="0.25">
      <c r="A240" s="124"/>
      <c r="B240" s="124"/>
      <c r="C240" s="135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</row>
    <row r="241" spans="1:28" ht="14.25" customHeight="1" x14ac:dyDescent="0.25">
      <c r="A241" s="124"/>
      <c r="B241" s="124"/>
      <c r="C241" s="135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</row>
    <row r="242" spans="1:28" ht="14.25" customHeight="1" x14ac:dyDescent="0.25">
      <c r="A242" s="124"/>
      <c r="B242" s="124"/>
      <c r="C242" s="135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</row>
    <row r="243" spans="1:28" ht="14.25" customHeight="1" x14ac:dyDescent="0.25">
      <c r="A243" s="124"/>
      <c r="B243" s="124"/>
      <c r="C243" s="135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</row>
    <row r="244" spans="1:28" ht="14.25" customHeight="1" x14ac:dyDescent="0.25">
      <c r="A244" s="124"/>
      <c r="B244" s="124"/>
      <c r="C244" s="135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</row>
    <row r="245" spans="1:28" ht="14.25" customHeight="1" x14ac:dyDescent="0.25">
      <c r="A245" s="124"/>
      <c r="B245" s="124"/>
      <c r="C245" s="135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</row>
    <row r="246" spans="1:28" ht="14.25" customHeight="1" x14ac:dyDescent="0.25">
      <c r="A246" s="124"/>
      <c r="B246" s="124"/>
      <c r="C246" s="135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</row>
    <row r="247" spans="1:28" ht="14.25" customHeight="1" x14ac:dyDescent="0.25">
      <c r="A247" s="124"/>
      <c r="B247" s="124"/>
      <c r="C247" s="135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</row>
    <row r="248" spans="1:28" ht="14.25" customHeight="1" x14ac:dyDescent="0.25">
      <c r="A248" s="124"/>
      <c r="B248" s="124"/>
      <c r="C248" s="135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</row>
    <row r="249" spans="1:28" ht="14.25" customHeight="1" x14ac:dyDescent="0.25">
      <c r="A249" s="124"/>
      <c r="B249" s="124"/>
      <c r="C249" s="135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</row>
    <row r="250" spans="1:28" ht="14.25" customHeight="1" x14ac:dyDescent="0.25">
      <c r="A250" s="124"/>
      <c r="B250" s="124"/>
      <c r="C250" s="135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</row>
    <row r="251" spans="1:28" ht="14.25" customHeight="1" x14ac:dyDescent="0.25">
      <c r="A251" s="124"/>
      <c r="B251" s="124"/>
      <c r="C251" s="135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</row>
    <row r="252" spans="1:28" ht="14.25" customHeight="1" x14ac:dyDescent="0.25">
      <c r="A252" s="124"/>
      <c r="B252" s="124"/>
      <c r="C252" s="135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</row>
    <row r="253" spans="1:28" ht="14.25" customHeight="1" x14ac:dyDescent="0.25">
      <c r="A253" s="124"/>
      <c r="B253" s="124"/>
      <c r="C253" s="135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</row>
    <row r="254" spans="1:28" ht="14.25" customHeight="1" x14ac:dyDescent="0.25">
      <c r="A254" s="124"/>
      <c r="B254" s="124"/>
      <c r="C254" s="135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</row>
    <row r="255" spans="1:28" ht="14.25" customHeight="1" x14ac:dyDescent="0.25">
      <c r="A255" s="124"/>
      <c r="B255" s="124"/>
      <c r="C255" s="135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  <c r="AB255" s="124"/>
    </row>
    <row r="256" spans="1:28" ht="14.25" customHeight="1" x14ac:dyDescent="0.25">
      <c r="A256" s="124"/>
      <c r="B256" s="124"/>
      <c r="C256" s="135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124"/>
    </row>
    <row r="257" spans="1:28" ht="14.25" customHeight="1" x14ac:dyDescent="0.25">
      <c r="A257" s="124"/>
      <c r="B257" s="124"/>
      <c r="C257" s="135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4"/>
      <c r="AB257" s="124"/>
    </row>
    <row r="258" spans="1:28" ht="14.25" customHeight="1" x14ac:dyDescent="0.25">
      <c r="A258" s="124"/>
      <c r="B258" s="124"/>
      <c r="C258" s="135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4"/>
      <c r="AB258" s="124"/>
    </row>
    <row r="259" spans="1:28" ht="14.25" customHeight="1" x14ac:dyDescent="0.25">
      <c r="A259" s="124"/>
      <c r="B259" s="124"/>
      <c r="C259" s="135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</row>
    <row r="260" spans="1:28" ht="14.25" customHeight="1" x14ac:dyDescent="0.25">
      <c r="A260" s="124"/>
      <c r="B260" s="124"/>
      <c r="C260" s="135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4"/>
      <c r="AB260" s="124"/>
    </row>
    <row r="261" spans="1:28" ht="14.25" customHeight="1" x14ac:dyDescent="0.25">
      <c r="A261" s="124"/>
      <c r="B261" s="124"/>
      <c r="C261" s="135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</row>
    <row r="262" spans="1:28" ht="14.25" customHeight="1" x14ac:dyDescent="0.25">
      <c r="A262" s="124"/>
      <c r="B262" s="124"/>
      <c r="C262" s="135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</row>
    <row r="263" spans="1:28" ht="14.25" customHeight="1" x14ac:dyDescent="0.25">
      <c r="A263" s="124"/>
      <c r="B263" s="124"/>
      <c r="C263" s="135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4"/>
    </row>
    <row r="264" spans="1:28" ht="14.25" customHeight="1" x14ac:dyDescent="0.25">
      <c r="A264" s="124"/>
      <c r="B264" s="124"/>
      <c r="C264" s="135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</row>
    <row r="265" spans="1:28" ht="14.25" customHeight="1" x14ac:dyDescent="0.25">
      <c r="A265" s="124"/>
      <c r="B265" s="124"/>
      <c r="C265" s="135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</row>
    <row r="266" spans="1:28" ht="14.25" customHeight="1" x14ac:dyDescent="0.25">
      <c r="A266" s="124"/>
      <c r="B266" s="124"/>
      <c r="C266" s="135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</row>
    <row r="267" spans="1:28" ht="14.25" customHeight="1" x14ac:dyDescent="0.25">
      <c r="A267" s="124"/>
      <c r="B267" s="124"/>
      <c r="C267" s="135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</row>
    <row r="268" spans="1:28" ht="14.25" customHeight="1" x14ac:dyDescent="0.25">
      <c r="A268" s="124"/>
      <c r="B268" s="124"/>
      <c r="C268" s="135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4"/>
    </row>
    <row r="269" spans="1:28" ht="14.25" customHeight="1" x14ac:dyDescent="0.25">
      <c r="A269" s="124"/>
      <c r="B269" s="124"/>
      <c r="C269" s="135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</row>
    <row r="270" spans="1:28" ht="14.25" customHeight="1" x14ac:dyDescent="0.25">
      <c r="A270" s="124"/>
      <c r="B270" s="124"/>
      <c r="C270" s="135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4"/>
    </row>
    <row r="271" spans="1:28" ht="14.25" customHeight="1" x14ac:dyDescent="0.25">
      <c r="A271" s="124"/>
      <c r="B271" s="124"/>
      <c r="C271" s="135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</row>
    <row r="272" spans="1:28" ht="14.25" customHeight="1" x14ac:dyDescent="0.25">
      <c r="A272" s="124"/>
      <c r="B272" s="124"/>
      <c r="C272" s="135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  <c r="AB272" s="124"/>
    </row>
    <row r="273" spans="1:28" ht="14.25" customHeight="1" x14ac:dyDescent="0.25">
      <c r="A273" s="124"/>
      <c r="B273" s="124"/>
      <c r="C273" s="135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</row>
    <row r="274" spans="1:28" ht="14.25" customHeight="1" x14ac:dyDescent="0.25">
      <c r="A274" s="124"/>
      <c r="B274" s="124"/>
      <c r="C274" s="135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</row>
    <row r="275" spans="1:28" ht="14.25" customHeight="1" x14ac:dyDescent="0.25">
      <c r="A275" s="124"/>
      <c r="B275" s="124"/>
      <c r="C275" s="135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</row>
    <row r="276" spans="1:28" ht="14.25" customHeight="1" x14ac:dyDescent="0.25">
      <c r="A276" s="124"/>
      <c r="B276" s="124"/>
      <c r="C276" s="135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</row>
    <row r="277" spans="1:28" ht="14.25" customHeight="1" x14ac:dyDescent="0.25">
      <c r="A277" s="124"/>
      <c r="B277" s="124"/>
      <c r="C277" s="135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</row>
    <row r="278" spans="1:28" ht="14.25" customHeight="1" x14ac:dyDescent="0.25">
      <c r="A278" s="124"/>
      <c r="B278" s="124"/>
      <c r="C278" s="135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</row>
    <row r="279" spans="1:28" ht="14.25" customHeight="1" x14ac:dyDescent="0.25">
      <c r="A279" s="124"/>
      <c r="B279" s="124"/>
      <c r="C279" s="135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</row>
    <row r="280" spans="1:28" ht="14.25" customHeight="1" x14ac:dyDescent="0.25">
      <c r="A280" s="124"/>
      <c r="B280" s="124"/>
      <c r="C280" s="135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</row>
    <row r="281" spans="1:28" ht="14.25" customHeight="1" x14ac:dyDescent="0.25">
      <c r="A281" s="124"/>
      <c r="B281" s="124"/>
      <c r="C281" s="135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</row>
    <row r="282" spans="1:28" ht="14.25" customHeight="1" x14ac:dyDescent="0.25">
      <c r="A282" s="124"/>
      <c r="B282" s="124"/>
      <c r="C282" s="135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</row>
    <row r="283" spans="1:28" ht="14.25" customHeight="1" x14ac:dyDescent="0.25">
      <c r="A283" s="124"/>
      <c r="B283" s="124"/>
      <c r="C283" s="135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</row>
    <row r="284" spans="1:28" ht="14.25" customHeight="1" x14ac:dyDescent="0.25">
      <c r="A284" s="124"/>
      <c r="B284" s="124"/>
      <c r="C284" s="135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</row>
    <row r="285" spans="1:28" ht="14.25" customHeight="1" x14ac:dyDescent="0.25">
      <c r="A285" s="124"/>
      <c r="B285" s="124"/>
      <c r="C285" s="135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</row>
    <row r="286" spans="1:28" ht="14.25" customHeight="1" x14ac:dyDescent="0.25">
      <c r="A286" s="124"/>
      <c r="B286" s="124"/>
      <c r="C286" s="135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</row>
    <row r="287" spans="1:28" ht="14.25" customHeight="1" x14ac:dyDescent="0.25">
      <c r="A287" s="124"/>
      <c r="B287" s="124"/>
      <c r="C287" s="135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</row>
    <row r="288" spans="1:28" ht="14.25" customHeight="1" x14ac:dyDescent="0.25">
      <c r="A288" s="124"/>
      <c r="B288" s="124"/>
      <c r="C288" s="135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</row>
    <row r="289" spans="1:28" ht="14.25" customHeight="1" x14ac:dyDescent="0.25">
      <c r="A289" s="124"/>
      <c r="B289" s="124"/>
      <c r="C289" s="135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</row>
    <row r="290" spans="1:28" ht="14.25" customHeight="1" x14ac:dyDescent="0.25">
      <c r="A290" s="124"/>
      <c r="B290" s="124"/>
      <c r="C290" s="135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</row>
    <row r="291" spans="1:28" ht="14.25" customHeight="1" x14ac:dyDescent="0.25">
      <c r="A291" s="124"/>
      <c r="B291" s="124"/>
      <c r="C291" s="135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</row>
    <row r="292" spans="1:28" ht="14.25" customHeight="1" x14ac:dyDescent="0.25">
      <c r="A292" s="124"/>
      <c r="B292" s="124"/>
      <c r="C292" s="135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</row>
    <row r="293" spans="1:28" ht="14.25" customHeight="1" x14ac:dyDescent="0.25">
      <c r="A293" s="124"/>
      <c r="B293" s="124"/>
      <c r="C293" s="135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</row>
    <row r="294" spans="1:28" ht="14.25" customHeight="1" x14ac:dyDescent="0.25">
      <c r="A294" s="124"/>
      <c r="B294" s="124"/>
      <c r="C294" s="135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</row>
    <row r="295" spans="1:28" ht="14.25" customHeight="1" x14ac:dyDescent="0.25">
      <c r="A295" s="124"/>
      <c r="B295" s="124"/>
      <c r="C295" s="135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</row>
    <row r="296" spans="1:28" ht="14.25" customHeight="1" x14ac:dyDescent="0.25">
      <c r="A296" s="124"/>
      <c r="B296" s="124"/>
      <c r="C296" s="135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</row>
    <row r="297" spans="1:28" ht="14.25" customHeight="1" x14ac:dyDescent="0.25">
      <c r="A297" s="124"/>
      <c r="B297" s="124"/>
      <c r="C297" s="135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</row>
    <row r="298" spans="1:28" ht="14.25" customHeight="1" x14ac:dyDescent="0.25">
      <c r="A298" s="124"/>
      <c r="B298" s="124"/>
      <c r="C298" s="135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</row>
    <row r="299" spans="1:28" ht="14.25" customHeight="1" x14ac:dyDescent="0.25">
      <c r="A299" s="124"/>
      <c r="B299" s="124"/>
      <c r="C299" s="135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</row>
    <row r="300" spans="1:28" ht="14.25" customHeight="1" x14ac:dyDescent="0.25">
      <c r="A300" s="124"/>
      <c r="B300" s="124"/>
      <c r="C300" s="135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</row>
    <row r="301" spans="1:28" ht="14.25" customHeight="1" x14ac:dyDescent="0.25">
      <c r="A301" s="124"/>
      <c r="B301" s="124"/>
      <c r="C301" s="135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</row>
    <row r="302" spans="1:28" ht="14.25" customHeight="1" x14ac:dyDescent="0.25">
      <c r="A302" s="124"/>
      <c r="B302" s="124"/>
      <c r="C302" s="135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</row>
    <row r="303" spans="1:28" ht="14.25" customHeight="1" x14ac:dyDescent="0.25">
      <c r="A303" s="124"/>
      <c r="B303" s="124"/>
      <c r="C303" s="135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  <c r="AB303" s="124"/>
    </row>
    <row r="304" spans="1:28" ht="14.25" customHeight="1" x14ac:dyDescent="0.25">
      <c r="A304" s="124"/>
      <c r="B304" s="124"/>
      <c r="C304" s="135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</row>
    <row r="305" spans="1:28" ht="14.25" customHeight="1" x14ac:dyDescent="0.25">
      <c r="A305" s="124"/>
      <c r="B305" s="124"/>
      <c r="C305" s="135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</row>
    <row r="306" spans="1:28" ht="14.25" customHeight="1" x14ac:dyDescent="0.25">
      <c r="A306" s="124"/>
      <c r="B306" s="124"/>
      <c r="C306" s="135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4"/>
    </row>
    <row r="307" spans="1:28" ht="14.25" customHeight="1" x14ac:dyDescent="0.25">
      <c r="A307" s="124"/>
      <c r="B307" s="124"/>
      <c r="C307" s="135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  <c r="AB307" s="124"/>
    </row>
    <row r="308" spans="1:28" ht="14.25" customHeight="1" x14ac:dyDescent="0.25">
      <c r="A308" s="124"/>
      <c r="B308" s="124"/>
      <c r="C308" s="135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</row>
    <row r="309" spans="1:28" ht="14.25" customHeight="1" x14ac:dyDescent="0.25">
      <c r="A309" s="124"/>
      <c r="B309" s="124"/>
      <c r="C309" s="135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  <c r="AB309" s="124"/>
    </row>
    <row r="310" spans="1:28" ht="14.25" customHeight="1" x14ac:dyDescent="0.25">
      <c r="A310" s="124"/>
      <c r="B310" s="124"/>
      <c r="C310" s="135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</row>
    <row r="311" spans="1:28" ht="14.25" customHeight="1" x14ac:dyDescent="0.25">
      <c r="A311" s="124"/>
      <c r="B311" s="124"/>
      <c r="C311" s="135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  <c r="AB311" s="124"/>
    </row>
    <row r="312" spans="1:28" ht="14.25" customHeight="1" x14ac:dyDescent="0.25">
      <c r="A312" s="124"/>
      <c r="B312" s="124"/>
      <c r="C312" s="135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4"/>
    </row>
    <row r="313" spans="1:28" ht="14.25" customHeight="1" x14ac:dyDescent="0.25">
      <c r="A313" s="124"/>
      <c r="B313" s="124"/>
      <c r="C313" s="135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</row>
    <row r="314" spans="1:28" ht="14.25" customHeight="1" x14ac:dyDescent="0.25">
      <c r="A314" s="124"/>
      <c r="B314" s="124"/>
      <c r="C314" s="135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</row>
    <row r="315" spans="1:28" ht="14.25" customHeight="1" x14ac:dyDescent="0.25">
      <c r="A315" s="124"/>
      <c r="B315" s="124"/>
      <c r="C315" s="135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</row>
    <row r="316" spans="1:28" ht="14.25" customHeight="1" x14ac:dyDescent="0.25">
      <c r="A316" s="124"/>
      <c r="B316" s="124"/>
      <c r="C316" s="135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</row>
    <row r="317" spans="1:28" ht="14.25" customHeight="1" x14ac:dyDescent="0.25">
      <c r="A317" s="124"/>
      <c r="B317" s="124"/>
      <c r="C317" s="135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</row>
    <row r="318" spans="1:28" ht="14.25" customHeight="1" x14ac:dyDescent="0.25">
      <c r="A318" s="124"/>
      <c r="B318" s="124"/>
      <c r="C318" s="135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</row>
    <row r="319" spans="1:28" ht="14.25" customHeight="1" x14ac:dyDescent="0.25">
      <c r="A319" s="124"/>
      <c r="B319" s="124"/>
      <c r="C319" s="135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</row>
    <row r="320" spans="1:28" ht="14.25" customHeight="1" x14ac:dyDescent="0.25">
      <c r="A320" s="124"/>
      <c r="B320" s="124"/>
      <c r="C320" s="135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</row>
    <row r="321" spans="1:28" ht="14.25" customHeight="1" x14ac:dyDescent="0.25">
      <c r="A321" s="124"/>
      <c r="B321" s="124"/>
      <c r="C321" s="135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</row>
    <row r="322" spans="1:28" ht="14.25" customHeight="1" x14ac:dyDescent="0.25">
      <c r="A322" s="124"/>
      <c r="B322" s="124"/>
      <c r="C322" s="135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</row>
    <row r="323" spans="1:28" ht="14.25" customHeight="1" x14ac:dyDescent="0.25">
      <c r="A323" s="124"/>
      <c r="B323" s="124"/>
      <c r="C323" s="135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/>
    </row>
    <row r="324" spans="1:28" ht="14.25" customHeight="1" x14ac:dyDescent="0.25">
      <c r="A324" s="124"/>
      <c r="B324" s="124"/>
      <c r="C324" s="135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</row>
    <row r="325" spans="1:28" ht="14.25" customHeight="1" x14ac:dyDescent="0.25">
      <c r="A325" s="124"/>
      <c r="B325" s="124"/>
      <c r="C325" s="135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</row>
    <row r="326" spans="1:28" ht="14.25" customHeight="1" x14ac:dyDescent="0.25">
      <c r="A326" s="124"/>
      <c r="B326" s="124"/>
      <c r="C326" s="135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</row>
    <row r="327" spans="1:28" ht="14.25" customHeight="1" x14ac:dyDescent="0.25">
      <c r="A327" s="124"/>
      <c r="B327" s="124"/>
      <c r="C327" s="135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</row>
    <row r="328" spans="1:28" ht="14.25" customHeight="1" x14ac:dyDescent="0.25">
      <c r="A328" s="124"/>
      <c r="B328" s="124"/>
      <c r="C328" s="135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</row>
    <row r="329" spans="1:28" ht="14.25" customHeight="1" x14ac:dyDescent="0.25">
      <c r="A329" s="124"/>
      <c r="B329" s="124"/>
      <c r="C329" s="135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</row>
    <row r="330" spans="1:28" ht="14.25" customHeight="1" x14ac:dyDescent="0.25">
      <c r="A330" s="124"/>
      <c r="B330" s="124"/>
      <c r="C330" s="135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</row>
    <row r="331" spans="1:28" ht="14.25" customHeight="1" x14ac:dyDescent="0.25">
      <c r="A331" s="124"/>
      <c r="B331" s="124"/>
      <c r="C331" s="135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</row>
    <row r="332" spans="1:28" ht="14.25" customHeight="1" x14ac:dyDescent="0.25">
      <c r="A332" s="124"/>
      <c r="B332" s="124"/>
      <c r="C332" s="135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</row>
    <row r="333" spans="1:28" ht="14.25" customHeight="1" x14ac:dyDescent="0.25">
      <c r="A333" s="124"/>
      <c r="B333" s="124"/>
      <c r="C333" s="135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</row>
    <row r="334" spans="1:28" ht="14.25" customHeight="1" x14ac:dyDescent="0.25">
      <c r="A334" s="124"/>
      <c r="B334" s="124"/>
      <c r="C334" s="135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</row>
    <row r="335" spans="1:28" ht="14.25" customHeight="1" x14ac:dyDescent="0.25">
      <c r="A335" s="124"/>
      <c r="B335" s="124"/>
      <c r="C335" s="135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</row>
    <row r="336" spans="1:28" ht="14.25" customHeight="1" x14ac:dyDescent="0.25">
      <c r="A336" s="124"/>
      <c r="B336" s="124"/>
      <c r="C336" s="135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</row>
    <row r="337" spans="1:28" ht="14.25" customHeight="1" x14ac:dyDescent="0.25">
      <c r="A337" s="124"/>
      <c r="B337" s="124"/>
      <c r="C337" s="135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</row>
    <row r="338" spans="1:28" ht="14.25" customHeight="1" x14ac:dyDescent="0.25">
      <c r="A338" s="124"/>
      <c r="B338" s="124"/>
      <c r="C338" s="135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</row>
    <row r="339" spans="1:28" ht="14.25" customHeight="1" x14ac:dyDescent="0.25">
      <c r="A339" s="124"/>
      <c r="B339" s="124"/>
      <c r="C339" s="135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</row>
    <row r="340" spans="1:28" ht="14.25" customHeight="1" x14ac:dyDescent="0.25">
      <c r="A340" s="124"/>
      <c r="B340" s="124"/>
      <c r="C340" s="135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</row>
    <row r="341" spans="1:28" ht="14.25" customHeight="1" x14ac:dyDescent="0.25">
      <c r="A341" s="124"/>
      <c r="B341" s="124"/>
      <c r="C341" s="135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  <c r="AB341" s="124"/>
    </row>
    <row r="342" spans="1:28" ht="14.25" customHeight="1" x14ac:dyDescent="0.25">
      <c r="A342" s="124"/>
      <c r="B342" s="124"/>
      <c r="C342" s="135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  <c r="AB342" s="124"/>
    </row>
    <row r="343" spans="1:28" ht="14.25" customHeight="1" x14ac:dyDescent="0.25">
      <c r="A343" s="124"/>
      <c r="B343" s="124"/>
      <c r="C343" s="135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4"/>
    </row>
    <row r="344" spans="1:28" ht="14.25" customHeight="1" x14ac:dyDescent="0.25">
      <c r="A344" s="124"/>
      <c r="B344" s="124"/>
      <c r="C344" s="135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</row>
    <row r="345" spans="1:28" ht="14.25" customHeight="1" x14ac:dyDescent="0.25">
      <c r="A345" s="124"/>
      <c r="B345" s="124"/>
      <c r="C345" s="135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</row>
    <row r="346" spans="1:28" ht="14.25" customHeight="1" x14ac:dyDescent="0.25">
      <c r="A346" s="124"/>
      <c r="B346" s="124"/>
      <c r="C346" s="135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</row>
    <row r="347" spans="1:28" ht="14.25" customHeight="1" x14ac:dyDescent="0.25">
      <c r="A347" s="124"/>
      <c r="B347" s="124"/>
      <c r="C347" s="135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</row>
    <row r="348" spans="1:28" ht="14.25" customHeight="1" x14ac:dyDescent="0.25">
      <c r="A348" s="124"/>
      <c r="B348" s="124"/>
      <c r="C348" s="135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  <c r="AB348" s="124"/>
    </row>
    <row r="349" spans="1:28" ht="14.25" customHeight="1" x14ac:dyDescent="0.25">
      <c r="A349" s="124"/>
      <c r="B349" s="124"/>
      <c r="C349" s="135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4"/>
    </row>
    <row r="350" spans="1:28" ht="14.25" customHeight="1" x14ac:dyDescent="0.25">
      <c r="A350" s="124"/>
      <c r="B350" s="124"/>
      <c r="C350" s="135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</row>
    <row r="351" spans="1:28" ht="14.25" customHeight="1" x14ac:dyDescent="0.25">
      <c r="A351" s="124"/>
      <c r="B351" s="124"/>
      <c r="C351" s="135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  <c r="AA351" s="124"/>
      <c r="AB351" s="124"/>
    </row>
    <row r="352" spans="1:28" ht="14.25" customHeight="1" x14ac:dyDescent="0.25">
      <c r="A352" s="124"/>
      <c r="B352" s="124"/>
      <c r="C352" s="135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</row>
    <row r="353" spans="1:28" ht="14.25" customHeight="1" x14ac:dyDescent="0.25">
      <c r="A353" s="124"/>
      <c r="B353" s="124"/>
      <c r="C353" s="135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  <c r="AB353" s="124"/>
    </row>
    <row r="354" spans="1:28" ht="14.25" customHeight="1" x14ac:dyDescent="0.25">
      <c r="A354" s="124"/>
      <c r="B354" s="124"/>
      <c r="C354" s="135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</row>
    <row r="355" spans="1:28" ht="14.25" customHeight="1" x14ac:dyDescent="0.25">
      <c r="A355" s="124"/>
      <c r="B355" s="124"/>
      <c r="C355" s="135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</row>
    <row r="356" spans="1:28" ht="14.25" customHeight="1" x14ac:dyDescent="0.25">
      <c r="A356" s="124"/>
      <c r="B356" s="124"/>
      <c r="C356" s="135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4"/>
    </row>
    <row r="357" spans="1:28" ht="14.25" customHeight="1" x14ac:dyDescent="0.25">
      <c r="A357" s="124"/>
      <c r="B357" s="124"/>
      <c r="C357" s="135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  <c r="AB357" s="124"/>
    </row>
    <row r="358" spans="1:28" ht="14.25" customHeight="1" x14ac:dyDescent="0.25">
      <c r="A358" s="124"/>
      <c r="B358" s="124"/>
      <c r="C358" s="135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124"/>
      <c r="AB358" s="124"/>
    </row>
    <row r="359" spans="1:28" ht="14.25" customHeight="1" x14ac:dyDescent="0.25">
      <c r="A359" s="124"/>
      <c r="B359" s="124"/>
      <c r="C359" s="135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  <c r="AA359" s="124"/>
      <c r="AB359" s="124"/>
    </row>
    <row r="360" spans="1:28" ht="14.25" customHeight="1" x14ac:dyDescent="0.25">
      <c r="A360" s="124"/>
      <c r="B360" s="124"/>
      <c r="C360" s="135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124"/>
      <c r="AB360" s="124"/>
    </row>
    <row r="361" spans="1:28" ht="14.25" customHeight="1" x14ac:dyDescent="0.25">
      <c r="A361" s="124"/>
      <c r="B361" s="124"/>
      <c r="C361" s="135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124"/>
      <c r="AB361" s="124"/>
    </row>
    <row r="362" spans="1:28" ht="14.25" customHeight="1" x14ac:dyDescent="0.25">
      <c r="A362" s="124"/>
      <c r="B362" s="124"/>
      <c r="C362" s="135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  <c r="AA362" s="124"/>
      <c r="AB362" s="124"/>
    </row>
    <row r="363" spans="1:28" ht="14.25" customHeight="1" x14ac:dyDescent="0.25">
      <c r="A363" s="124"/>
      <c r="B363" s="124"/>
      <c r="C363" s="135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  <c r="AA363" s="124"/>
      <c r="AB363" s="124"/>
    </row>
    <row r="364" spans="1:28" ht="14.25" customHeight="1" x14ac:dyDescent="0.25">
      <c r="A364" s="124"/>
      <c r="B364" s="124"/>
      <c r="C364" s="135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4"/>
    </row>
    <row r="365" spans="1:28" ht="14.25" customHeight="1" x14ac:dyDescent="0.25">
      <c r="A365" s="124"/>
      <c r="B365" s="124"/>
      <c r="C365" s="135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</row>
    <row r="366" spans="1:28" ht="14.25" customHeight="1" x14ac:dyDescent="0.25">
      <c r="A366" s="124"/>
      <c r="B366" s="124"/>
      <c r="C366" s="135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124"/>
      <c r="AB366" s="124"/>
    </row>
    <row r="367" spans="1:28" ht="14.25" customHeight="1" x14ac:dyDescent="0.25">
      <c r="A367" s="124"/>
      <c r="B367" s="124"/>
      <c r="C367" s="135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  <c r="AB367" s="124"/>
    </row>
    <row r="368" spans="1:28" ht="14.25" customHeight="1" x14ac:dyDescent="0.25">
      <c r="A368" s="124"/>
      <c r="B368" s="124"/>
      <c r="C368" s="135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  <c r="AB368" s="124"/>
    </row>
    <row r="369" spans="1:28" ht="14.25" customHeight="1" x14ac:dyDescent="0.25">
      <c r="A369" s="124"/>
      <c r="B369" s="124"/>
      <c r="C369" s="135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4"/>
    </row>
    <row r="370" spans="1:28" ht="14.25" customHeight="1" x14ac:dyDescent="0.25">
      <c r="A370" s="124"/>
      <c r="B370" s="124"/>
      <c r="C370" s="135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  <c r="AA370" s="124"/>
      <c r="AB370" s="124"/>
    </row>
    <row r="371" spans="1:28" ht="14.25" customHeight="1" x14ac:dyDescent="0.25">
      <c r="A371" s="124"/>
      <c r="B371" s="124"/>
      <c r="C371" s="135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  <c r="AB371" s="124"/>
    </row>
    <row r="372" spans="1:28" ht="14.25" customHeight="1" x14ac:dyDescent="0.25">
      <c r="A372" s="124"/>
      <c r="B372" s="124"/>
      <c r="C372" s="135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  <c r="AA372" s="124"/>
      <c r="AB372" s="124"/>
    </row>
    <row r="373" spans="1:28" ht="14.25" customHeight="1" x14ac:dyDescent="0.25">
      <c r="A373" s="124"/>
      <c r="B373" s="124"/>
      <c r="C373" s="135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  <c r="AB373" s="124"/>
    </row>
    <row r="374" spans="1:28" ht="14.25" customHeight="1" x14ac:dyDescent="0.25">
      <c r="A374" s="124"/>
      <c r="B374" s="124"/>
      <c r="C374" s="135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  <c r="AA374" s="124"/>
      <c r="AB374" s="124"/>
    </row>
    <row r="375" spans="1:28" ht="14.25" customHeight="1" x14ac:dyDescent="0.25">
      <c r="A375" s="124"/>
      <c r="B375" s="124"/>
      <c r="C375" s="135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  <c r="AB375" s="124"/>
    </row>
    <row r="376" spans="1:28" ht="14.25" customHeight="1" x14ac:dyDescent="0.25">
      <c r="A376" s="124"/>
      <c r="B376" s="124"/>
      <c r="C376" s="135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124"/>
      <c r="AB376" s="124"/>
    </row>
    <row r="377" spans="1:28" ht="14.25" customHeight="1" x14ac:dyDescent="0.25">
      <c r="A377" s="124"/>
      <c r="B377" s="124"/>
      <c r="C377" s="135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</row>
    <row r="378" spans="1:28" ht="14.25" customHeight="1" x14ac:dyDescent="0.25">
      <c r="A378" s="124"/>
      <c r="B378" s="124"/>
      <c r="C378" s="135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</row>
    <row r="379" spans="1:28" ht="14.25" customHeight="1" x14ac:dyDescent="0.25">
      <c r="A379" s="124"/>
      <c r="B379" s="124"/>
      <c r="C379" s="135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4"/>
    </row>
    <row r="380" spans="1:28" ht="14.25" customHeight="1" x14ac:dyDescent="0.25">
      <c r="A380" s="124"/>
      <c r="B380" s="124"/>
      <c r="C380" s="135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</row>
    <row r="381" spans="1:28" ht="14.25" customHeight="1" x14ac:dyDescent="0.25">
      <c r="A381" s="124"/>
      <c r="B381" s="124"/>
      <c r="C381" s="135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</row>
    <row r="382" spans="1:28" ht="14.25" customHeight="1" x14ac:dyDescent="0.25">
      <c r="A382" s="124"/>
      <c r="B382" s="124"/>
      <c r="C382" s="135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</row>
    <row r="383" spans="1:28" ht="14.25" customHeight="1" x14ac:dyDescent="0.25">
      <c r="A383" s="124"/>
      <c r="B383" s="124"/>
      <c r="C383" s="135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</row>
    <row r="384" spans="1:28" ht="14.25" customHeight="1" x14ac:dyDescent="0.25">
      <c r="A384" s="124"/>
      <c r="B384" s="124"/>
      <c r="C384" s="135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  <c r="AB384" s="124"/>
    </row>
    <row r="385" spans="1:28" ht="14.25" customHeight="1" x14ac:dyDescent="0.25">
      <c r="A385" s="124"/>
      <c r="B385" s="124"/>
      <c r="C385" s="135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4"/>
    </row>
    <row r="386" spans="1:28" ht="14.25" customHeight="1" x14ac:dyDescent="0.25">
      <c r="A386" s="124"/>
      <c r="B386" s="124"/>
      <c r="C386" s="135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4"/>
    </row>
    <row r="387" spans="1:28" ht="14.25" customHeight="1" x14ac:dyDescent="0.25">
      <c r="A387" s="124"/>
      <c r="B387" s="124"/>
      <c r="C387" s="135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  <c r="AB387" s="124"/>
    </row>
    <row r="388" spans="1:28" ht="14.25" customHeight="1" x14ac:dyDescent="0.25">
      <c r="A388" s="124"/>
      <c r="B388" s="124"/>
      <c r="C388" s="135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124"/>
      <c r="AB388" s="124"/>
    </row>
    <row r="389" spans="1:28" ht="14.25" customHeight="1" x14ac:dyDescent="0.25">
      <c r="A389" s="124"/>
      <c r="B389" s="124"/>
      <c r="C389" s="135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  <c r="AA389" s="124"/>
      <c r="AB389" s="124"/>
    </row>
    <row r="390" spans="1:28" ht="14.25" customHeight="1" x14ac:dyDescent="0.25">
      <c r="A390" s="124"/>
      <c r="B390" s="124"/>
      <c r="C390" s="135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  <c r="AB390" s="124"/>
    </row>
    <row r="391" spans="1:28" ht="14.25" customHeight="1" x14ac:dyDescent="0.25">
      <c r="A391" s="124"/>
      <c r="B391" s="124"/>
      <c r="C391" s="135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</row>
    <row r="392" spans="1:28" ht="14.25" customHeight="1" x14ac:dyDescent="0.25">
      <c r="A392" s="124"/>
      <c r="B392" s="124"/>
      <c r="C392" s="135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</row>
    <row r="393" spans="1:28" ht="14.25" customHeight="1" x14ac:dyDescent="0.25">
      <c r="A393" s="124"/>
      <c r="B393" s="124"/>
      <c r="C393" s="135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  <c r="AB393" s="124"/>
    </row>
    <row r="394" spans="1:28" ht="14.25" customHeight="1" x14ac:dyDescent="0.25">
      <c r="A394" s="124"/>
      <c r="B394" s="124"/>
      <c r="C394" s="135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124"/>
      <c r="AB394" s="124"/>
    </row>
    <row r="395" spans="1:28" ht="14.25" customHeight="1" x14ac:dyDescent="0.25">
      <c r="A395" s="124"/>
      <c r="B395" s="124"/>
      <c r="C395" s="135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124"/>
      <c r="AB395" s="124"/>
    </row>
    <row r="396" spans="1:28" ht="14.25" customHeight="1" x14ac:dyDescent="0.25">
      <c r="A396" s="124"/>
      <c r="B396" s="124"/>
      <c r="C396" s="135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124"/>
      <c r="AB396" s="124"/>
    </row>
    <row r="397" spans="1:28" ht="14.25" customHeight="1" x14ac:dyDescent="0.25">
      <c r="A397" s="124"/>
      <c r="B397" s="124"/>
      <c r="C397" s="135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  <c r="AA397" s="124"/>
      <c r="AB397" s="124"/>
    </row>
    <row r="398" spans="1:28" ht="14.25" customHeight="1" x14ac:dyDescent="0.25">
      <c r="A398" s="124"/>
      <c r="B398" s="124"/>
      <c r="C398" s="135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  <c r="AB398" s="124"/>
    </row>
    <row r="399" spans="1:28" ht="14.25" customHeight="1" x14ac:dyDescent="0.25">
      <c r="A399" s="124"/>
      <c r="B399" s="124"/>
      <c r="C399" s="135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  <c r="AA399" s="124"/>
      <c r="AB399" s="124"/>
    </row>
    <row r="400" spans="1:28" ht="14.25" customHeight="1" x14ac:dyDescent="0.25">
      <c r="A400" s="124"/>
      <c r="B400" s="124"/>
      <c r="C400" s="135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4"/>
    </row>
    <row r="401" spans="1:28" ht="14.25" customHeight="1" x14ac:dyDescent="0.25">
      <c r="A401" s="124"/>
      <c r="B401" s="124"/>
      <c r="C401" s="135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  <c r="AB401" s="124"/>
    </row>
    <row r="402" spans="1:28" ht="14.25" customHeight="1" x14ac:dyDescent="0.25">
      <c r="A402" s="124"/>
      <c r="B402" s="124"/>
      <c r="C402" s="135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  <c r="AA402" s="124"/>
      <c r="AB402" s="124"/>
    </row>
    <row r="403" spans="1:28" ht="14.25" customHeight="1" x14ac:dyDescent="0.25">
      <c r="A403" s="124"/>
      <c r="B403" s="124"/>
      <c r="C403" s="135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  <c r="AB403" s="124"/>
    </row>
    <row r="404" spans="1:28" ht="14.25" customHeight="1" x14ac:dyDescent="0.25">
      <c r="A404" s="124"/>
      <c r="B404" s="124"/>
      <c r="C404" s="135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  <c r="AB404" s="124"/>
    </row>
    <row r="405" spans="1:28" ht="14.25" customHeight="1" x14ac:dyDescent="0.25">
      <c r="A405" s="124"/>
      <c r="B405" s="124"/>
      <c r="C405" s="135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4"/>
    </row>
    <row r="406" spans="1:28" ht="14.25" customHeight="1" x14ac:dyDescent="0.25">
      <c r="A406" s="124"/>
      <c r="B406" s="124"/>
      <c r="C406" s="135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  <c r="AB406" s="124"/>
    </row>
    <row r="407" spans="1:28" ht="14.25" customHeight="1" x14ac:dyDescent="0.25">
      <c r="A407" s="124"/>
      <c r="B407" s="124"/>
      <c r="C407" s="135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  <c r="AA407" s="124"/>
      <c r="AB407" s="124"/>
    </row>
    <row r="408" spans="1:28" ht="14.25" customHeight="1" x14ac:dyDescent="0.25">
      <c r="A408" s="124"/>
      <c r="B408" s="124"/>
      <c r="C408" s="135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</row>
    <row r="409" spans="1:28" ht="14.25" customHeight="1" x14ac:dyDescent="0.25">
      <c r="A409" s="124"/>
      <c r="B409" s="124"/>
      <c r="C409" s="135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  <c r="AB409" s="124"/>
    </row>
    <row r="410" spans="1:28" ht="14.25" customHeight="1" x14ac:dyDescent="0.25">
      <c r="A410" s="124"/>
      <c r="B410" s="124"/>
      <c r="C410" s="135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4"/>
    </row>
    <row r="411" spans="1:28" ht="14.25" customHeight="1" x14ac:dyDescent="0.25">
      <c r="A411" s="124"/>
      <c r="B411" s="124"/>
      <c r="C411" s="135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  <c r="AB411" s="124"/>
    </row>
    <row r="412" spans="1:28" ht="14.25" customHeight="1" x14ac:dyDescent="0.25">
      <c r="A412" s="124"/>
      <c r="B412" s="124"/>
      <c r="C412" s="135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  <c r="AB412" s="124"/>
    </row>
    <row r="413" spans="1:28" ht="14.25" customHeight="1" x14ac:dyDescent="0.25">
      <c r="A413" s="124"/>
      <c r="B413" s="124"/>
      <c r="C413" s="135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  <c r="AB413" s="124"/>
    </row>
    <row r="414" spans="1:28" ht="14.25" customHeight="1" x14ac:dyDescent="0.25">
      <c r="A414" s="124"/>
      <c r="B414" s="124"/>
      <c r="C414" s="135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  <c r="AB414" s="124"/>
    </row>
    <row r="415" spans="1:28" ht="14.25" customHeight="1" x14ac:dyDescent="0.25">
      <c r="A415" s="124"/>
      <c r="B415" s="124"/>
      <c r="C415" s="135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  <c r="AB415" s="124"/>
    </row>
    <row r="416" spans="1:28" ht="14.25" customHeight="1" x14ac:dyDescent="0.25">
      <c r="A416" s="124"/>
      <c r="B416" s="124"/>
      <c r="C416" s="135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4"/>
    </row>
    <row r="417" spans="1:28" ht="14.25" customHeight="1" x14ac:dyDescent="0.25">
      <c r="A417" s="124"/>
      <c r="B417" s="124"/>
      <c r="C417" s="135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</row>
    <row r="418" spans="1:28" ht="14.25" customHeight="1" x14ac:dyDescent="0.25">
      <c r="A418" s="124"/>
      <c r="B418" s="124"/>
      <c r="C418" s="135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</row>
    <row r="419" spans="1:28" ht="14.25" customHeight="1" x14ac:dyDescent="0.25">
      <c r="A419" s="124"/>
      <c r="B419" s="124"/>
      <c r="C419" s="135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  <c r="AB419" s="124"/>
    </row>
    <row r="420" spans="1:28" ht="14.25" customHeight="1" x14ac:dyDescent="0.25">
      <c r="A420" s="124"/>
      <c r="B420" s="124"/>
      <c r="C420" s="135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</row>
    <row r="421" spans="1:28" ht="14.25" customHeight="1" x14ac:dyDescent="0.25">
      <c r="A421" s="124"/>
      <c r="B421" s="124"/>
      <c r="C421" s="135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124"/>
      <c r="AB421" s="124"/>
    </row>
    <row r="422" spans="1:28" ht="14.25" customHeight="1" x14ac:dyDescent="0.25">
      <c r="A422" s="124"/>
      <c r="B422" s="124"/>
      <c r="C422" s="135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  <c r="AB422" s="124"/>
    </row>
    <row r="423" spans="1:28" ht="14.25" customHeight="1" x14ac:dyDescent="0.25">
      <c r="A423" s="124"/>
      <c r="B423" s="124"/>
      <c r="C423" s="135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</row>
    <row r="424" spans="1:28" ht="14.25" customHeight="1" x14ac:dyDescent="0.25">
      <c r="A424" s="124"/>
      <c r="B424" s="124"/>
      <c r="C424" s="135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4"/>
    </row>
    <row r="425" spans="1:28" ht="14.25" customHeight="1" x14ac:dyDescent="0.25">
      <c r="A425" s="124"/>
      <c r="B425" s="124"/>
      <c r="C425" s="135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  <c r="AB425" s="124"/>
    </row>
    <row r="426" spans="1:28" ht="14.25" customHeight="1" x14ac:dyDescent="0.25">
      <c r="A426" s="124"/>
      <c r="B426" s="124"/>
      <c r="C426" s="135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  <c r="AB426" s="124"/>
    </row>
    <row r="427" spans="1:28" ht="14.25" customHeight="1" x14ac:dyDescent="0.25">
      <c r="A427" s="124"/>
      <c r="B427" s="124"/>
      <c r="C427" s="135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4"/>
    </row>
    <row r="428" spans="1:28" ht="14.25" customHeight="1" x14ac:dyDescent="0.25">
      <c r="A428" s="124"/>
      <c r="B428" s="124"/>
      <c r="C428" s="135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</row>
    <row r="429" spans="1:28" ht="14.25" customHeight="1" x14ac:dyDescent="0.25">
      <c r="A429" s="124"/>
      <c r="B429" s="124"/>
      <c r="C429" s="135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  <c r="AA429" s="124"/>
      <c r="AB429" s="124"/>
    </row>
    <row r="430" spans="1:28" ht="14.25" customHeight="1" x14ac:dyDescent="0.25">
      <c r="A430" s="124"/>
      <c r="B430" s="124"/>
      <c r="C430" s="135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  <c r="AA430" s="124"/>
      <c r="AB430" s="124"/>
    </row>
    <row r="431" spans="1:28" ht="14.25" customHeight="1" x14ac:dyDescent="0.25">
      <c r="A431" s="124"/>
      <c r="B431" s="124"/>
      <c r="C431" s="135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  <c r="AA431" s="124"/>
      <c r="AB431" s="124"/>
    </row>
    <row r="432" spans="1:28" ht="14.25" customHeight="1" x14ac:dyDescent="0.25">
      <c r="A432" s="124"/>
      <c r="B432" s="124"/>
      <c r="C432" s="135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  <c r="AB432" s="124"/>
    </row>
    <row r="433" spans="1:28" ht="14.25" customHeight="1" x14ac:dyDescent="0.25">
      <c r="A433" s="124"/>
      <c r="B433" s="124"/>
      <c r="C433" s="135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  <c r="AA433" s="124"/>
      <c r="AB433" s="124"/>
    </row>
    <row r="434" spans="1:28" ht="14.25" customHeight="1" x14ac:dyDescent="0.25">
      <c r="A434" s="124"/>
      <c r="B434" s="124"/>
      <c r="C434" s="135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  <c r="AB434" s="124"/>
    </row>
    <row r="435" spans="1:28" ht="14.25" customHeight="1" x14ac:dyDescent="0.25">
      <c r="A435" s="124"/>
      <c r="B435" s="124"/>
      <c r="C435" s="135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  <c r="AA435" s="124"/>
      <c r="AB435" s="124"/>
    </row>
    <row r="436" spans="1:28" ht="14.25" customHeight="1" x14ac:dyDescent="0.25">
      <c r="A436" s="124"/>
      <c r="B436" s="124"/>
      <c r="C436" s="135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  <c r="AB436" s="124"/>
    </row>
    <row r="437" spans="1:28" ht="14.25" customHeight="1" x14ac:dyDescent="0.25">
      <c r="A437" s="124"/>
      <c r="B437" s="124"/>
      <c r="C437" s="135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  <c r="AA437" s="124"/>
      <c r="AB437" s="124"/>
    </row>
    <row r="438" spans="1:28" ht="14.25" customHeight="1" x14ac:dyDescent="0.25">
      <c r="A438" s="124"/>
      <c r="B438" s="124"/>
      <c r="C438" s="135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  <c r="AA438" s="124"/>
      <c r="AB438" s="124"/>
    </row>
    <row r="439" spans="1:28" ht="14.25" customHeight="1" x14ac:dyDescent="0.25">
      <c r="A439" s="124"/>
      <c r="B439" s="124"/>
      <c r="C439" s="135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  <c r="AB439" s="124"/>
    </row>
    <row r="440" spans="1:28" ht="14.25" customHeight="1" x14ac:dyDescent="0.25">
      <c r="A440" s="124"/>
      <c r="B440" s="124"/>
      <c r="C440" s="135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  <c r="AB440" s="124"/>
    </row>
    <row r="441" spans="1:28" ht="14.25" customHeight="1" x14ac:dyDescent="0.25">
      <c r="A441" s="124"/>
      <c r="B441" s="124"/>
      <c r="C441" s="135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  <c r="AB441" s="124"/>
    </row>
    <row r="442" spans="1:28" ht="14.25" customHeight="1" x14ac:dyDescent="0.25">
      <c r="A442" s="124"/>
      <c r="B442" s="124"/>
      <c r="C442" s="135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</row>
    <row r="443" spans="1:28" ht="14.25" customHeight="1" x14ac:dyDescent="0.25">
      <c r="A443" s="124"/>
      <c r="B443" s="124"/>
      <c r="C443" s="135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  <c r="AB443" s="124"/>
    </row>
    <row r="444" spans="1:28" ht="14.25" customHeight="1" x14ac:dyDescent="0.25">
      <c r="A444" s="124"/>
      <c r="B444" s="124"/>
      <c r="C444" s="135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  <c r="AA444" s="124"/>
      <c r="AB444" s="124"/>
    </row>
    <row r="445" spans="1:28" ht="14.25" customHeight="1" x14ac:dyDescent="0.25">
      <c r="A445" s="124"/>
      <c r="B445" s="124"/>
      <c r="C445" s="135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4"/>
    </row>
    <row r="446" spans="1:28" ht="14.25" customHeight="1" x14ac:dyDescent="0.25">
      <c r="A446" s="124"/>
      <c r="B446" s="124"/>
      <c r="C446" s="135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4"/>
    </row>
    <row r="447" spans="1:28" ht="14.25" customHeight="1" x14ac:dyDescent="0.25">
      <c r="A447" s="124"/>
      <c r="B447" s="124"/>
      <c r="C447" s="135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</row>
    <row r="448" spans="1:28" ht="14.25" customHeight="1" x14ac:dyDescent="0.25">
      <c r="A448" s="124"/>
      <c r="B448" s="124"/>
      <c r="C448" s="135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  <c r="AB448" s="124"/>
    </row>
    <row r="449" spans="1:28" ht="14.25" customHeight="1" x14ac:dyDescent="0.25">
      <c r="A449" s="124"/>
      <c r="B449" s="124"/>
      <c r="C449" s="135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  <c r="AB449" s="124"/>
    </row>
    <row r="450" spans="1:28" ht="14.25" customHeight="1" x14ac:dyDescent="0.25">
      <c r="A450" s="124"/>
      <c r="B450" s="124"/>
      <c r="C450" s="135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  <c r="AA450" s="124"/>
      <c r="AB450" s="124"/>
    </row>
    <row r="451" spans="1:28" ht="14.25" customHeight="1" x14ac:dyDescent="0.25">
      <c r="A451" s="124"/>
      <c r="B451" s="124"/>
      <c r="C451" s="135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  <c r="AB451" s="124"/>
    </row>
    <row r="452" spans="1:28" ht="14.25" customHeight="1" x14ac:dyDescent="0.25">
      <c r="A452" s="124"/>
      <c r="B452" s="124"/>
      <c r="C452" s="135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  <c r="AB452" s="124"/>
    </row>
    <row r="453" spans="1:28" ht="14.25" customHeight="1" x14ac:dyDescent="0.25">
      <c r="A453" s="124"/>
      <c r="B453" s="124"/>
      <c r="C453" s="135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</row>
    <row r="454" spans="1:28" ht="14.25" customHeight="1" x14ac:dyDescent="0.25">
      <c r="A454" s="124"/>
      <c r="B454" s="124"/>
      <c r="C454" s="135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  <c r="AB454" s="124"/>
    </row>
    <row r="455" spans="1:28" ht="14.25" customHeight="1" x14ac:dyDescent="0.25">
      <c r="A455" s="124"/>
      <c r="B455" s="124"/>
      <c r="C455" s="135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4"/>
    </row>
    <row r="456" spans="1:28" ht="14.25" customHeight="1" x14ac:dyDescent="0.25">
      <c r="A456" s="124"/>
      <c r="B456" s="124"/>
      <c r="C456" s="135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</row>
    <row r="457" spans="1:28" ht="14.25" customHeight="1" x14ac:dyDescent="0.25">
      <c r="A457" s="124"/>
      <c r="B457" s="124"/>
      <c r="C457" s="135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</row>
    <row r="458" spans="1:28" ht="14.25" customHeight="1" x14ac:dyDescent="0.25">
      <c r="A458" s="124"/>
      <c r="B458" s="124"/>
      <c r="C458" s="135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  <c r="AB458" s="124"/>
    </row>
    <row r="459" spans="1:28" ht="14.25" customHeight="1" x14ac:dyDescent="0.25">
      <c r="A459" s="124"/>
      <c r="B459" s="124"/>
      <c r="C459" s="135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</row>
    <row r="460" spans="1:28" ht="14.25" customHeight="1" x14ac:dyDescent="0.25">
      <c r="A460" s="124"/>
      <c r="B460" s="124"/>
      <c r="C460" s="135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4"/>
    </row>
    <row r="461" spans="1:28" ht="14.25" customHeight="1" x14ac:dyDescent="0.25">
      <c r="A461" s="124"/>
      <c r="B461" s="124"/>
      <c r="C461" s="135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</row>
    <row r="462" spans="1:28" ht="14.25" customHeight="1" x14ac:dyDescent="0.25">
      <c r="A462" s="124"/>
      <c r="B462" s="124"/>
      <c r="C462" s="135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  <c r="AB462" s="124"/>
    </row>
    <row r="463" spans="1:28" ht="14.25" customHeight="1" x14ac:dyDescent="0.25">
      <c r="A463" s="124"/>
      <c r="B463" s="124"/>
      <c r="C463" s="135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</row>
    <row r="464" spans="1:28" ht="14.25" customHeight="1" x14ac:dyDescent="0.25">
      <c r="A464" s="124"/>
      <c r="B464" s="124"/>
      <c r="C464" s="135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</row>
    <row r="465" spans="1:28" ht="14.25" customHeight="1" x14ac:dyDescent="0.25">
      <c r="A465" s="124"/>
      <c r="B465" s="124"/>
      <c r="C465" s="135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</row>
    <row r="466" spans="1:28" ht="14.25" customHeight="1" x14ac:dyDescent="0.25">
      <c r="A466" s="124"/>
      <c r="B466" s="124"/>
      <c r="C466" s="135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  <c r="AB466" s="124"/>
    </row>
    <row r="467" spans="1:28" ht="14.25" customHeight="1" x14ac:dyDescent="0.25">
      <c r="A467" s="124"/>
      <c r="B467" s="124"/>
      <c r="C467" s="135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</row>
    <row r="468" spans="1:28" ht="14.25" customHeight="1" x14ac:dyDescent="0.25">
      <c r="A468" s="124"/>
      <c r="B468" s="124"/>
      <c r="C468" s="135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</row>
    <row r="469" spans="1:28" ht="14.25" customHeight="1" x14ac:dyDescent="0.25">
      <c r="A469" s="124"/>
      <c r="B469" s="124"/>
      <c r="C469" s="135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4"/>
    </row>
    <row r="470" spans="1:28" ht="14.25" customHeight="1" x14ac:dyDescent="0.25">
      <c r="A470" s="124"/>
      <c r="B470" s="124"/>
      <c r="C470" s="135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  <c r="AB470" s="124"/>
    </row>
    <row r="471" spans="1:28" ht="14.25" customHeight="1" x14ac:dyDescent="0.25">
      <c r="A471" s="124"/>
      <c r="B471" s="124"/>
      <c r="C471" s="135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24"/>
      <c r="AB471" s="124"/>
    </row>
    <row r="472" spans="1:28" ht="14.25" customHeight="1" x14ac:dyDescent="0.25">
      <c r="A472" s="124"/>
      <c r="B472" s="124"/>
      <c r="C472" s="135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  <c r="AB472" s="124"/>
    </row>
    <row r="473" spans="1:28" ht="14.25" customHeight="1" x14ac:dyDescent="0.25">
      <c r="A473" s="124"/>
      <c r="B473" s="124"/>
      <c r="C473" s="135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  <c r="AB473" s="124"/>
    </row>
    <row r="474" spans="1:28" ht="14.25" customHeight="1" x14ac:dyDescent="0.25">
      <c r="A474" s="124"/>
      <c r="B474" s="124"/>
      <c r="C474" s="135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  <c r="AB474" s="124"/>
    </row>
    <row r="475" spans="1:28" ht="14.25" customHeight="1" x14ac:dyDescent="0.25">
      <c r="A475" s="124"/>
      <c r="B475" s="124"/>
      <c r="C475" s="135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4"/>
    </row>
    <row r="476" spans="1:28" ht="14.25" customHeight="1" x14ac:dyDescent="0.25">
      <c r="A476" s="124"/>
      <c r="B476" s="124"/>
      <c r="C476" s="135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4"/>
    </row>
    <row r="477" spans="1:28" ht="14.25" customHeight="1" x14ac:dyDescent="0.25">
      <c r="A477" s="124"/>
      <c r="B477" s="124"/>
      <c r="C477" s="135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24"/>
    </row>
    <row r="478" spans="1:28" ht="14.25" customHeight="1" x14ac:dyDescent="0.25">
      <c r="A478" s="124"/>
      <c r="B478" s="124"/>
      <c r="C478" s="135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124"/>
      <c r="AB478" s="124"/>
    </row>
    <row r="479" spans="1:28" ht="14.25" customHeight="1" x14ac:dyDescent="0.25">
      <c r="A479" s="124"/>
      <c r="B479" s="124"/>
      <c r="C479" s="135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  <c r="AA479" s="124"/>
      <c r="AB479" s="124"/>
    </row>
    <row r="480" spans="1:28" ht="14.25" customHeight="1" x14ac:dyDescent="0.25">
      <c r="A480" s="124"/>
      <c r="B480" s="124"/>
      <c r="C480" s="135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124"/>
      <c r="AB480" s="124"/>
    </row>
    <row r="481" spans="1:28" ht="14.25" customHeight="1" x14ac:dyDescent="0.25">
      <c r="A481" s="124"/>
      <c r="B481" s="124"/>
      <c r="C481" s="135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124"/>
      <c r="AB481" s="124"/>
    </row>
    <row r="482" spans="1:28" ht="14.25" customHeight="1" x14ac:dyDescent="0.25">
      <c r="A482" s="124"/>
      <c r="B482" s="124"/>
      <c r="C482" s="135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4"/>
    </row>
    <row r="483" spans="1:28" ht="14.25" customHeight="1" x14ac:dyDescent="0.25">
      <c r="A483" s="124"/>
      <c r="B483" s="124"/>
      <c r="C483" s="135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  <c r="AA483" s="124"/>
      <c r="AB483" s="124"/>
    </row>
    <row r="484" spans="1:28" ht="14.25" customHeight="1" x14ac:dyDescent="0.25">
      <c r="A484" s="124"/>
      <c r="B484" s="124"/>
      <c r="C484" s="135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  <c r="AA484" s="124"/>
      <c r="AB484" s="124"/>
    </row>
    <row r="485" spans="1:28" ht="14.25" customHeight="1" x14ac:dyDescent="0.25">
      <c r="A485" s="124"/>
      <c r="B485" s="124"/>
      <c r="C485" s="135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  <c r="AA485" s="124"/>
      <c r="AB485" s="124"/>
    </row>
    <row r="486" spans="1:28" ht="14.25" customHeight="1" x14ac:dyDescent="0.25">
      <c r="A486" s="124"/>
      <c r="B486" s="124"/>
      <c r="C486" s="135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124"/>
      <c r="AB486" s="124"/>
    </row>
    <row r="487" spans="1:28" ht="14.25" customHeight="1" x14ac:dyDescent="0.25">
      <c r="A487" s="124"/>
      <c r="B487" s="124"/>
      <c r="C487" s="135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  <c r="AA487" s="124"/>
      <c r="AB487" s="124"/>
    </row>
    <row r="488" spans="1:28" ht="14.25" customHeight="1" x14ac:dyDescent="0.25">
      <c r="A488" s="124"/>
      <c r="B488" s="124"/>
      <c r="C488" s="135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  <c r="AA488" s="124"/>
      <c r="AB488" s="124"/>
    </row>
    <row r="489" spans="1:28" ht="14.25" customHeight="1" x14ac:dyDescent="0.25">
      <c r="A489" s="124"/>
      <c r="B489" s="124"/>
      <c r="C489" s="135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  <c r="AA489" s="124"/>
      <c r="AB489" s="124"/>
    </row>
    <row r="490" spans="1:28" ht="14.25" customHeight="1" x14ac:dyDescent="0.25">
      <c r="A490" s="124"/>
      <c r="B490" s="124"/>
      <c r="C490" s="135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  <c r="AA490" s="124"/>
      <c r="AB490" s="124"/>
    </row>
    <row r="491" spans="1:28" ht="14.25" customHeight="1" x14ac:dyDescent="0.25">
      <c r="A491" s="124"/>
      <c r="B491" s="124"/>
      <c r="C491" s="135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  <c r="AA491" s="124"/>
      <c r="AB491" s="124"/>
    </row>
    <row r="492" spans="1:28" ht="14.25" customHeight="1" x14ac:dyDescent="0.25">
      <c r="A492" s="124"/>
      <c r="B492" s="124"/>
      <c r="C492" s="135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  <c r="AA492" s="124"/>
      <c r="AB492" s="124"/>
    </row>
    <row r="493" spans="1:28" ht="14.25" customHeight="1" x14ac:dyDescent="0.25">
      <c r="A493" s="124"/>
      <c r="B493" s="124"/>
      <c r="C493" s="135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  <c r="AA493" s="124"/>
      <c r="AB493" s="124"/>
    </row>
    <row r="494" spans="1:28" ht="14.25" customHeight="1" x14ac:dyDescent="0.25">
      <c r="A494" s="124"/>
      <c r="B494" s="124"/>
      <c r="C494" s="135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  <c r="AA494" s="124"/>
      <c r="AB494" s="124"/>
    </row>
    <row r="495" spans="1:28" ht="14.25" customHeight="1" x14ac:dyDescent="0.25">
      <c r="A495" s="124"/>
      <c r="B495" s="124"/>
      <c r="C495" s="135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4"/>
      <c r="AB495" s="124"/>
    </row>
    <row r="496" spans="1:28" ht="14.25" customHeight="1" x14ac:dyDescent="0.25">
      <c r="A496" s="124"/>
      <c r="B496" s="124"/>
      <c r="C496" s="135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  <c r="AA496" s="124"/>
      <c r="AB496" s="124"/>
    </row>
    <row r="497" spans="1:28" ht="14.25" customHeight="1" x14ac:dyDescent="0.25">
      <c r="A497" s="124"/>
      <c r="B497" s="124"/>
      <c r="C497" s="135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  <c r="AA497" s="124"/>
      <c r="AB497" s="124"/>
    </row>
    <row r="498" spans="1:28" ht="14.25" customHeight="1" x14ac:dyDescent="0.25">
      <c r="A498" s="124"/>
      <c r="B498" s="124"/>
      <c r="C498" s="135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  <c r="AA498" s="124"/>
      <c r="AB498" s="124"/>
    </row>
    <row r="499" spans="1:28" ht="14.25" customHeight="1" x14ac:dyDescent="0.25">
      <c r="A499" s="124"/>
      <c r="B499" s="124"/>
      <c r="C499" s="135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124"/>
      <c r="AB499" s="124"/>
    </row>
    <row r="500" spans="1:28" ht="14.25" customHeight="1" x14ac:dyDescent="0.25">
      <c r="A500" s="124"/>
      <c r="B500" s="124"/>
      <c r="C500" s="135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</row>
    <row r="501" spans="1:28" ht="14.25" customHeight="1" x14ac:dyDescent="0.25">
      <c r="A501" s="124"/>
      <c r="B501" s="124"/>
      <c r="C501" s="135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  <c r="AA501" s="124"/>
      <c r="AB501" s="124"/>
    </row>
    <row r="502" spans="1:28" ht="14.25" customHeight="1" x14ac:dyDescent="0.25">
      <c r="A502" s="124"/>
      <c r="B502" s="124"/>
      <c r="C502" s="135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  <c r="AA502" s="124"/>
      <c r="AB502" s="124"/>
    </row>
    <row r="503" spans="1:28" ht="14.25" customHeight="1" x14ac:dyDescent="0.25">
      <c r="A503" s="124"/>
      <c r="B503" s="124"/>
      <c r="C503" s="135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124"/>
      <c r="AB503" s="124"/>
    </row>
    <row r="504" spans="1:28" ht="14.25" customHeight="1" x14ac:dyDescent="0.25">
      <c r="A504" s="124"/>
      <c r="B504" s="124"/>
      <c r="C504" s="135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  <c r="AA504" s="124"/>
      <c r="AB504" s="124"/>
    </row>
    <row r="505" spans="1:28" ht="14.25" customHeight="1" x14ac:dyDescent="0.25">
      <c r="A505" s="124"/>
      <c r="B505" s="124"/>
      <c r="C505" s="135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  <c r="AA505" s="124"/>
      <c r="AB505" s="124"/>
    </row>
    <row r="506" spans="1:28" ht="14.25" customHeight="1" x14ac:dyDescent="0.25">
      <c r="A506" s="124"/>
      <c r="B506" s="124"/>
      <c r="C506" s="135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  <c r="AA506" s="124"/>
      <c r="AB506" s="124"/>
    </row>
    <row r="507" spans="1:28" ht="14.25" customHeight="1" x14ac:dyDescent="0.25">
      <c r="A507" s="124"/>
      <c r="B507" s="124"/>
      <c r="C507" s="135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  <c r="AB507" s="124"/>
    </row>
    <row r="508" spans="1:28" ht="14.25" customHeight="1" x14ac:dyDescent="0.25">
      <c r="A508" s="124"/>
      <c r="B508" s="124"/>
      <c r="C508" s="135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</row>
    <row r="509" spans="1:28" ht="14.25" customHeight="1" x14ac:dyDescent="0.25">
      <c r="A509" s="124"/>
      <c r="B509" s="124"/>
      <c r="C509" s="135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  <c r="AB509" s="124"/>
    </row>
    <row r="510" spans="1:28" ht="14.25" customHeight="1" x14ac:dyDescent="0.25">
      <c r="A510" s="124"/>
      <c r="B510" s="124"/>
      <c r="C510" s="135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  <c r="AA510" s="124"/>
      <c r="AB510" s="124"/>
    </row>
    <row r="511" spans="1:28" ht="14.25" customHeight="1" x14ac:dyDescent="0.25">
      <c r="A511" s="124"/>
      <c r="B511" s="124"/>
      <c r="C511" s="135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  <c r="AA511" s="124"/>
      <c r="AB511" s="124"/>
    </row>
    <row r="512" spans="1:28" ht="14.25" customHeight="1" x14ac:dyDescent="0.25">
      <c r="A512" s="124"/>
      <c r="B512" s="124"/>
      <c r="C512" s="135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  <c r="AA512" s="124"/>
      <c r="AB512" s="124"/>
    </row>
    <row r="513" spans="1:28" ht="14.25" customHeight="1" x14ac:dyDescent="0.25">
      <c r="A513" s="124"/>
      <c r="B513" s="124"/>
      <c r="C513" s="135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  <c r="AA513" s="124"/>
      <c r="AB513" s="124"/>
    </row>
    <row r="514" spans="1:28" ht="14.25" customHeight="1" x14ac:dyDescent="0.25">
      <c r="A514" s="124"/>
      <c r="B514" s="124"/>
      <c r="C514" s="135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  <c r="AA514" s="124"/>
      <c r="AB514" s="124"/>
    </row>
    <row r="515" spans="1:28" ht="14.25" customHeight="1" x14ac:dyDescent="0.25">
      <c r="A515" s="124"/>
      <c r="B515" s="124"/>
      <c r="C515" s="135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  <c r="AA515" s="124"/>
      <c r="AB515" s="124"/>
    </row>
    <row r="516" spans="1:28" ht="14.25" customHeight="1" x14ac:dyDescent="0.25">
      <c r="A516" s="124"/>
      <c r="B516" s="124"/>
      <c r="C516" s="135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124"/>
      <c r="AB516" s="124"/>
    </row>
    <row r="517" spans="1:28" ht="14.25" customHeight="1" x14ac:dyDescent="0.25">
      <c r="A517" s="124"/>
      <c r="B517" s="124"/>
      <c r="C517" s="135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  <c r="AA517" s="124"/>
      <c r="AB517" s="124"/>
    </row>
    <row r="518" spans="1:28" ht="14.25" customHeight="1" x14ac:dyDescent="0.25">
      <c r="A518" s="124"/>
      <c r="B518" s="124"/>
      <c r="C518" s="135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  <c r="AB518" s="124"/>
    </row>
    <row r="519" spans="1:28" ht="14.25" customHeight="1" x14ac:dyDescent="0.25">
      <c r="A519" s="124"/>
      <c r="B519" s="124"/>
      <c r="C519" s="135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  <c r="AA519" s="124"/>
      <c r="AB519" s="124"/>
    </row>
    <row r="520" spans="1:28" ht="14.25" customHeight="1" x14ac:dyDescent="0.25">
      <c r="A520" s="124"/>
      <c r="B520" s="124"/>
      <c r="C520" s="135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  <c r="AA520" s="124"/>
      <c r="AB520" s="124"/>
    </row>
    <row r="521" spans="1:28" ht="14.25" customHeight="1" x14ac:dyDescent="0.25">
      <c r="A521" s="124"/>
      <c r="B521" s="124"/>
      <c r="C521" s="135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124"/>
      <c r="AB521" s="124"/>
    </row>
    <row r="522" spans="1:28" ht="14.25" customHeight="1" x14ac:dyDescent="0.25">
      <c r="A522" s="124"/>
      <c r="B522" s="124"/>
      <c r="C522" s="135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  <c r="AA522" s="124"/>
      <c r="AB522" s="124"/>
    </row>
    <row r="523" spans="1:28" ht="14.25" customHeight="1" x14ac:dyDescent="0.25">
      <c r="A523" s="124"/>
      <c r="B523" s="124"/>
      <c r="C523" s="135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  <c r="AA523" s="124"/>
      <c r="AB523" s="124"/>
    </row>
    <row r="524" spans="1:28" ht="14.25" customHeight="1" x14ac:dyDescent="0.25">
      <c r="A524" s="124"/>
      <c r="B524" s="124"/>
      <c r="C524" s="135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124"/>
      <c r="AB524" s="124"/>
    </row>
    <row r="525" spans="1:28" ht="14.25" customHeight="1" x14ac:dyDescent="0.25">
      <c r="A525" s="124"/>
      <c r="B525" s="124"/>
      <c r="C525" s="135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  <c r="AA525" s="124"/>
      <c r="AB525" s="124"/>
    </row>
    <row r="526" spans="1:28" ht="14.25" customHeight="1" x14ac:dyDescent="0.25">
      <c r="A526" s="124"/>
      <c r="B526" s="124"/>
      <c r="C526" s="135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  <c r="AA526" s="124"/>
      <c r="AB526" s="124"/>
    </row>
    <row r="527" spans="1:28" ht="14.25" customHeight="1" x14ac:dyDescent="0.25">
      <c r="A527" s="124"/>
      <c r="B527" s="124"/>
      <c r="C527" s="135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124"/>
      <c r="AB527" s="124"/>
    </row>
    <row r="528" spans="1:28" ht="14.25" customHeight="1" x14ac:dyDescent="0.25">
      <c r="A528" s="124"/>
      <c r="B528" s="124"/>
      <c r="C528" s="135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  <c r="AA528" s="124"/>
      <c r="AB528" s="124"/>
    </row>
    <row r="529" spans="1:28" ht="14.25" customHeight="1" x14ac:dyDescent="0.25">
      <c r="A529" s="124"/>
      <c r="B529" s="124"/>
      <c r="C529" s="135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  <c r="AA529" s="124"/>
      <c r="AB529" s="124"/>
    </row>
    <row r="530" spans="1:28" ht="14.25" customHeight="1" x14ac:dyDescent="0.25">
      <c r="A530" s="124"/>
      <c r="B530" s="124"/>
      <c r="C530" s="135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  <c r="AA530" s="124"/>
      <c r="AB530" s="124"/>
    </row>
    <row r="531" spans="1:28" ht="14.25" customHeight="1" x14ac:dyDescent="0.25">
      <c r="A531" s="124"/>
      <c r="B531" s="124"/>
      <c r="C531" s="135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  <c r="AA531" s="124"/>
      <c r="AB531" s="124"/>
    </row>
    <row r="532" spans="1:28" ht="14.25" customHeight="1" x14ac:dyDescent="0.25">
      <c r="A532" s="124"/>
      <c r="B532" s="124"/>
      <c r="C532" s="135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</row>
    <row r="533" spans="1:28" ht="14.25" customHeight="1" x14ac:dyDescent="0.25">
      <c r="A533" s="124"/>
      <c r="B533" s="124"/>
      <c r="C533" s="135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4"/>
    </row>
    <row r="534" spans="1:28" ht="14.25" customHeight="1" x14ac:dyDescent="0.25">
      <c r="A534" s="124"/>
      <c r="B534" s="124"/>
      <c r="C534" s="135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  <c r="AA534" s="124"/>
      <c r="AB534" s="124"/>
    </row>
    <row r="535" spans="1:28" ht="14.25" customHeight="1" x14ac:dyDescent="0.25">
      <c r="A535" s="124"/>
      <c r="B535" s="124"/>
      <c r="C535" s="135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  <c r="AA535" s="124"/>
      <c r="AB535" s="124"/>
    </row>
    <row r="536" spans="1:28" ht="14.25" customHeight="1" x14ac:dyDescent="0.25">
      <c r="A536" s="124"/>
      <c r="B536" s="124"/>
      <c r="C536" s="135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  <c r="AA536" s="124"/>
      <c r="AB536" s="124"/>
    </row>
    <row r="537" spans="1:28" ht="14.25" customHeight="1" x14ac:dyDescent="0.25">
      <c r="A537" s="124"/>
      <c r="B537" s="124"/>
      <c r="C537" s="135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  <c r="AA537" s="124"/>
      <c r="AB537" s="124"/>
    </row>
    <row r="538" spans="1:28" ht="14.25" customHeight="1" x14ac:dyDescent="0.25">
      <c r="A538" s="124"/>
      <c r="B538" s="124"/>
      <c r="C538" s="135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  <c r="AA538" s="124"/>
      <c r="AB538" s="124"/>
    </row>
    <row r="539" spans="1:28" ht="14.25" customHeight="1" x14ac:dyDescent="0.25">
      <c r="A539" s="124"/>
      <c r="B539" s="124"/>
      <c r="C539" s="135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  <c r="AA539" s="124"/>
      <c r="AB539" s="124"/>
    </row>
    <row r="540" spans="1:28" ht="14.25" customHeight="1" x14ac:dyDescent="0.25">
      <c r="A540" s="124"/>
      <c r="B540" s="124"/>
      <c r="C540" s="135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4"/>
    </row>
    <row r="541" spans="1:28" ht="14.25" customHeight="1" x14ac:dyDescent="0.25">
      <c r="A541" s="124"/>
      <c r="B541" s="124"/>
      <c r="C541" s="135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  <c r="AA541" s="124"/>
      <c r="AB541" s="124"/>
    </row>
    <row r="542" spans="1:28" ht="14.25" customHeight="1" x14ac:dyDescent="0.25">
      <c r="A542" s="124"/>
      <c r="B542" s="124"/>
      <c r="C542" s="135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  <c r="AA542" s="124"/>
      <c r="AB542" s="124"/>
    </row>
    <row r="543" spans="1:28" ht="14.25" customHeight="1" x14ac:dyDescent="0.25">
      <c r="A543" s="124"/>
      <c r="B543" s="124"/>
      <c r="C543" s="135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  <c r="AB543" s="124"/>
    </row>
    <row r="544" spans="1:28" ht="14.25" customHeight="1" x14ac:dyDescent="0.25">
      <c r="A544" s="124"/>
      <c r="B544" s="124"/>
      <c r="C544" s="135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124"/>
      <c r="AB544" s="124"/>
    </row>
    <row r="545" spans="1:28" ht="14.25" customHeight="1" x14ac:dyDescent="0.25">
      <c r="A545" s="124"/>
      <c r="B545" s="124"/>
      <c r="C545" s="135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  <c r="AA545" s="124"/>
      <c r="AB545" s="124"/>
    </row>
    <row r="546" spans="1:28" ht="14.25" customHeight="1" x14ac:dyDescent="0.25">
      <c r="A546" s="124"/>
      <c r="B546" s="124"/>
      <c r="C546" s="135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  <c r="AB546" s="124"/>
    </row>
    <row r="547" spans="1:28" ht="14.25" customHeight="1" x14ac:dyDescent="0.25">
      <c r="A547" s="124"/>
      <c r="B547" s="124"/>
      <c r="C547" s="135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  <c r="AA547" s="124"/>
      <c r="AB547" s="124"/>
    </row>
    <row r="548" spans="1:28" ht="14.25" customHeight="1" x14ac:dyDescent="0.25">
      <c r="A548" s="124"/>
      <c r="B548" s="124"/>
      <c r="C548" s="135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  <c r="AA548" s="124"/>
      <c r="AB548" s="124"/>
    </row>
    <row r="549" spans="1:28" ht="14.25" customHeight="1" x14ac:dyDescent="0.25">
      <c r="A549" s="124"/>
      <c r="B549" s="124"/>
      <c r="C549" s="135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  <c r="AA549" s="124"/>
      <c r="AB549" s="124"/>
    </row>
    <row r="550" spans="1:28" ht="14.25" customHeight="1" x14ac:dyDescent="0.25">
      <c r="A550" s="124"/>
      <c r="B550" s="124"/>
      <c r="C550" s="135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  <c r="AA550" s="124"/>
      <c r="AB550" s="124"/>
    </row>
    <row r="551" spans="1:28" ht="14.25" customHeight="1" x14ac:dyDescent="0.25">
      <c r="A551" s="124"/>
      <c r="B551" s="124"/>
      <c r="C551" s="135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  <c r="AA551" s="124"/>
      <c r="AB551" s="124"/>
    </row>
    <row r="552" spans="1:28" ht="14.25" customHeight="1" x14ac:dyDescent="0.25">
      <c r="A552" s="124"/>
      <c r="B552" s="124"/>
      <c r="C552" s="135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  <c r="AA552" s="124"/>
      <c r="AB552" s="124"/>
    </row>
    <row r="553" spans="1:28" ht="14.25" customHeight="1" x14ac:dyDescent="0.25">
      <c r="A553" s="124"/>
      <c r="B553" s="124"/>
      <c r="C553" s="135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  <c r="AA553" s="124"/>
      <c r="AB553" s="124"/>
    </row>
    <row r="554" spans="1:28" ht="14.25" customHeight="1" x14ac:dyDescent="0.25">
      <c r="A554" s="124"/>
      <c r="B554" s="124"/>
      <c r="C554" s="135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  <c r="AA554" s="124"/>
      <c r="AB554" s="124"/>
    </row>
    <row r="555" spans="1:28" ht="14.25" customHeight="1" x14ac:dyDescent="0.25">
      <c r="A555" s="124"/>
      <c r="B555" s="124"/>
      <c r="C555" s="135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  <c r="AA555" s="124"/>
      <c r="AB555" s="124"/>
    </row>
    <row r="556" spans="1:28" ht="14.25" customHeight="1" x14ac:dyDescent="0.25">
      <c r="A556" s="124"/>
      <c r="B556" s="124"/>
      <c r="C556" s="135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  <c r="AB556" s="124"/>
    </row>
    <row r="557" spans="1:28" ht="14.25" customHeight="1" x14ac:dyDescent="0.25">
      <c r="A557" s="124"/>
      <c r="B557" s="124"/>
      <c r="C557" s="135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  <c r="AA557" s="124"/>
      <c r="AB557" s="124"/>
    </row>
    <row r="558" spans="1:28" ht="14.25" customHeight="1" x14ac:dyDescent="0.25">
      <c r="A558" s="124"/>
      <c r="B558" s="124"/>
      <c r="C558" s="135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  <c r="AA558" s="124"/>
      <c r="AB558" s="124"/>
    </row>
    <row r="559" spans="1:28" ht="14.25" customHeight="1" x14ac:dyDescent="0.25">
      <c r="A559" s="124"/>
      <c r="B559" s="124"/>
      <c r="C559" s="135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  <c r="AA559" s="124"/>
      <c r="AB559" s="124"/>
    </row>
    <row r="560" spans="1:28" ht="14.25" customHeight="1" x14ac:dyDescent="0.25">
      <c r="A560" s="124"/>
      <c r="B560" s="124"/>
      <c r="C560" s="135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  <c r="AA560" s="124"/>
      <c r="AB560" s="124"/>
    </row>
    <row r="561" spans="1:28" ht="14.25" customHeight="1" x14ac:dyDescent="0.25">
      <c r="A561" s="124"/>
      <c r="B561" s="124"/>
      <c r="C561" s="135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  <c r="AA561" s="124"/>
      <c r="AB561" s="124"/>
    </row>
    <row r="562" spans="1:28" ht="14.25" customHeight="1" x14ac:dyDescent="0.25">
      <c r="A562" s="124"/>
      <c r="B562" s="124"/>
      <c r="C562" s="135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124"/>
      <c r="AB562" s="124"/>
    </row>
    <row r="563" spans="1:28" ht="14.25" customHeight="1" x14ac:dyDescent="0.25">
      <c r="A563" s="124"/>
      <c r="B563" s="124"/>
      <c r="C563" s="135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124"/>
      <c r="AB563" s="124"/>
    </row>
    <row r="564" spans="1:28" ht="14.25" customHeight="1" x14ac:dyDescent="0.25">
      <c r="A564" s="124"/>
      <c r="B564" s="124"/>
      <c r="C564" s="135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4"/>
    </row>
    <row r="565" spans="1:28" ht="14.25" customHeight="1" x14ac:dyDescent="0.25">
      <c r="A565" s="124"/>
      <c r="B565" s="124"/>
      <c r="C565" s="135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  <c r="AA565" s="124"/>
      <c r="AB565" s="124"/>
    </row>
    <row r="566" spans="1:28" ht="14.25" customHeight="1" x14ac:dyDescent="0.25">
      <c r="A566" s="124"/>
      <c r="B566" s="124"/>
      <c r="C566" s="135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  <c r="AA566" s="124"/>
      <c r="AB566" s="124"/>
    </row>
    <row r="567" spans="1:28" ht="14.25" customHeight="1" x14ac:dyDescent="0.25">
      <c r="A567" s="124"/>
      <c r="B567" s="124"/>
      <c r="C567" s="135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  <c r="AA567" s="124"/>
      <c r="AB567" s="124"/>
    </row>
    <row r="568" spans="1:28" ht="14.25" customHeight="1" x14ac:dyDescent="0.25">
      <c r="A568" s="124"/>
      <c r="B568" s="124"/>
      <c r="C568" s="135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</row>
    <row r="569" spans="1:28" ht="14.25" customHeight="1" x14ac:dyDescent="0.25">
      <c r="A569" s="124"/>
      <c r="B569" s="124"/>
      <c r="C569" s="135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  <c r="AA569" s="124"/>
      <c r="AB569" s="124"/>
    </row>
    <row r="570" spans="1:28" ht="14.25" customHeight="1" x14ac:dyDescent="0.25">
      <c r="A570" s="124"/>
      <c r="B570" s="124"/>
      <c r="C570" s="135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  <c r="AA570" s="124"/>
      <c r="AB570" s="124"/>
    </row>
    <row r="571" spans="1:28" ht="14.25" customHeight="1" x14ac:dyDescent="0.25">
      <c r="A571" s="124"/>
      <c r="B571" s="124"/>
      <c r="C571" s="135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  <c r="AA571" s="124"/>
      <c r="AB571" s="124"/>
    </row>
    <row r="572" spans="1:28" ht="14.25" customHeight="1" x14ac:dyDescent="0.25">
      <c r="A572" s="124"/>
      <c r="B572" s="124"/>
      <c r="C572" s="135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4"/>
    </row>
    <row r="573" spans="1:28" ht="14.25" customHeight="1" x14ac:dyDescent="0.25">
      <c r="A573" s="124"/>
      <c r="B573" s="124"/>
      <c r="C573" s="135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  <c r="AA573" s="124"/>
      <c r="AB573" s="124"/>
    </row>
    <row r="574" spans="1:28" ht="14.25" customHeight="1" x14ac:dyDescent="0.25">
      <c r="A574" s="124"/>
      <c r="B574" s="124"/>
      <c r="C574" s="135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  <c r="AA574" s="124"/>
      <c r="AB574" s="124"/>
    </row>
    <row r="575" spans="1:28" ht="14.25" customHeight="1" x14ac:dyDescent="0.25">
      <c r="A575" s="124"/>
      <c r="B575" s="124"/>
      <c r="C575" s="135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  <c r="AA575" s="124"/>
      <c r="AB575" s="124"/>
    </row>
    <row r="576" spans="1:28" ht="14.25" customHeight="1" x14ac:dyDescent="0.25">
      <c r="A576" s="124"/>
      <c r="B576" s="124"/>
      <c r="C576" s="135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  <c r="AA576" s="124"/>
      <c r="AB576" s="124"/>
    </row>
    <row r="577" spans="1:28" ht="14.25" customHeight="1" x14ac:dyDescent="0.25">
      <c r="A577" s="124"/>
      <c r="B577" s="124"/>
      <c r="C577" s="135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  <c r="AA577" s="124"/>
      <c r="AB577" s="124"/>
    </row>
    <row r="578" spans="1:28" ht="14.25" customHeight="1" x14ac:dyDescent="0.25">
      <c r="A578" s="124"/>
      <c r="B578" s="124"/>
      <c r="C578" s="135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  <c r="AA578" s="124"/>
      <c r="AB578" s="124"/>
    </row>
    <row r="579" spans="1:28" ht="14.25" customHeight="1" x14ac:dyDescent="0.25">
      <c r="A579" s="124"/>
      <c r="B579" s="124"/>
      <c r="C579" s="135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  <c r="AA579" s="124"/>
      <c r="AB579" s="124"/>
    </row>
    <row r="580" spans="1:28" ht="14.25" customHeight="1" x14ac:dyDescent="0.25">
      <c r="A580" s="124"/>
      <c r="B580" s="124"/>
      <c r="C580" s="135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  <c r="AA580" s="124"/>
      <c r="AB580" s="124"/>
    </row>
    <row r="581" spans="1:28" ht="14.25" customHeight="1" x14ac:dyDescent="0.25">
      <c r="A581" s="124"/>
      <c r="B581" s="124"/>
      <c r="C581" s="135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  <c r="AA581" s="124"/>
      <c r="AB581" s="124"/>
    </row>
    <row r="582" spans="1:28" ht="14.25" customHeight="1" x14ac:dyDescent="0.25">
      <c r="A582" s="124"/>
      <c r="B582" s="124"/>
      <c r="C582" s="135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  <c r="AA582" s="124"/>
      <c r="AB582" s="124"/>
    </row>
    <row r="583" spans="1:28" ht="14.25" customHeight="1" x14ac:dyDescent="0.25">
      <c r="A583" s="124"/>
      <c r="B583" s="124"/>
      <c r="C583" s="135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  <c r="AA583" s="124"/>
      <c r="AB583" s="124"/>
    </row>
    <row r="584" spans="1:28" ht="14.25" customHeight="1" x14ac:dyDescent="0.25">
      <c r="A584" s="124"/>
      <c r="B584" s="124"/>
      <c r="C584" s="135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  <c r="AA584" s="124"/>
      <c r="AB584" s="124"/>
    </row>
    <row r="585" spans="1:28" ht="14.25" customHeight="1" x14ac:dyDescent="0.25">
      <c r="A585" s="124"/>
      <c r="B585" s="124"/>
      <c r="C585" s="135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  <c r="AA585" s="124"/>
      <c r="AB585" s="124"/>
    </row>
    <row r="586" spans="1:28" ht="14.25" customHeight="1" x14ac:dyDescent="0.25">
      <c r="A586" s="124"/>
      <c r="B586" s="124"/>
      <c r="C586" s="135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  <c r="AA586" s="124"/>
      <c r="AB586" s="124"/>
    </row>
    <row r="587" spans="1:28" ht="14.25" customHeight="1" x14ac:dyDescent="0.25">
      <c r="A587" s="124"/>
      <c r="B587" s="124"/>
      <c r="C587" s="135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  <c r="AA587" s="124"/>
      <c r="AB587" s="124"/>
    </row>
    <row r="588" spans="1:28" ht="14.25" customHeight="1" x14ac:dyDescent="0.25">
      <c r="A588" s="124"/>
      <c r="B588" s="124"/>
      <c r="C588" s="135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  <c r="AA588" s="124"/>
      <c r="AB588" s="124"/>
    </row>
    <row r="589" spans="1:28" ht="14.25" customHeight="1" x14ac:dyDescent="0.25">
      <c r="A589" s="124"/>
      <c r="B589" s="124"/>
      <c r="C589" s="135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  <c r="AA589" s="124"/>
      <c r="AB589" s="124"/>
    </row>
    <row r="590" spans="1:28" ht="14.25" customHeight="1" x14ac:dyDescent="0.25">
      <c r="A590" s="124"/>
      <c r="B590" s="124"/>
      <c r="C590" s="135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  <c r="AA590" s="124"/>
      <c r="AB590" s="124"/>
    </row>
    <row r="591" spans="1:28" ht="14.25" customHeight="1" x14ac:dyDescent="0.25">
      <c r="A591" s="124"/>
      <c r="B591" s="124"/>
      <c r="C591" s="135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  <c r="AA591" s="124"/>
      <c r="AB591" s="124"/>
    </row>
    <row r="592" spans="1:28" ht="14.25" customHeight="1" x14ac:dyDescent="0.25">
      <c r="A592" s="124"/>
      <c r="B592" s="124"/>
      <c r="C592" s="135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  <c r="AA592" s="124"/>
      <c r="AB592" s="124"/>
    </row>
    <row r="593" spans="1:28" ht="14.25" customHeight="1" x14ac:dyDescent="0.25">
      <c r="A593" s="124"/>
      <c r="B593" s="124"/>
      <c r="C593" s="135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  <c r="AA593" s="124"/>
      <c r="AB593" s="124"/>
    </row>
    <row r="594" spans="1:28" ht="14.25" customHeight="1" x14ac:dyDescent="0.25">
      <c r="A594" s="124"/>
      <c r="B594" s="124"/>
      <c r="C594" s="135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  <c r="AA594" s="124"/>
      <c r="AB594" s="124"/>
    </row>
    <row r="595" spans="1:28" ht="14.25" customHeight="1" x14ac:dyDescent="0.25">
      <c r="A595" s="124"/>
      <c r="B595" s="124"/>
      <c r="C595" s="135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  <c r="AA595" s="124"/>
      <c r="AB595" s="124"/>
    </row>
    <row r="596" spans="1:28" ht="14.25" customHeight="1" x14ac:dyDescent="0.25">
      <c r="A596" s="124"/>
      <c r="B596" s="124"/>
      <c r="C596" s="135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  <c r="AA596" s="124"/>
      <c r="AB596" s="124"/>
    </row>
    <row r="597" spans="1:28" ht="14.25" customHeight="1" x14ac:dyDescent="0.25">
      <c r="A597" s="124"/>
      <c r="B597" s="124"/>
      <c r="C597" s="135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  <c r="AA597" s="124"/>
      <c r="AB597" s="124"/>
    </row>
    <row r="598" spans="1:28" ht="14.25" customHeight="1" x14ac:dyDescent="0.25">
      <c r="A598" s="124"/>
      <c r="B598" s="124"/>
      <c r="C598" s="135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  <c r="AA598" s="124"/>
      <c r="AB598" s="124"/>
    </row>
    <row r="599" spans="1:28" ht="14.25" customHeight="1" x14ac:dyDescent="0.25">
      <c r="A599" s="124"/>
      <c r="B599" s="124"/>
      <c r="C599" s="135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  <c r="AA599" s="124"/>
      <c r="AB599" s="124"/>
    </row>
    <row r="600" spans="1:28" ht="14.25" customHeight="1" x14ac:dyDescent="0.25">
      <c r="A600" s="124"/>
      <c r="B600" s="124"/>
      <c r="C600" s="135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  <c r="AA600" s="124"/>
      <c r="AB600" s="124"/>
    </row>
    <row r="601" spans="1:28" ht="14.25" customHeight="1" x14ac:dyDescent="0.25">
      <c r="A601" s="124"/>
      <c r="B601" s="124"/>
      <c r="C601" s="135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  <c r="AA601" s="124"/>
      <c r="AB601" s="124"/>
    </row>
    <row r="602" spans="1:28" ht="14.25" customHeight="1" x14ac:dyDescent="0.25">
      <c r="A602" s="124"/>
      <c r="B602" s="124"/>
      <c r="C602" s="135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  <c r="AA602" s="124"/>
      <c r="AB602" s="124"/>
    </row>
    <row r="603" spans="1:28" ht="14.25" customHeight="1" x14ac:dyDescent="0.25">
      <c r="A603" s="124"/>
      <c r="B603" s="124"/>
      <c r="C603" s="135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  <c r="AA603" s="124"/>
      <c r="AB603" s="124"/>
    </row>
    <row r="604" spans="1:28" ht="14.25" customHeight="1" x14ac:dyDescent="0.25">
      <c r="A604" s="124"/>
      <c r="B604" s="124"/>
      <c r="C604" s="135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  <c r="AA604" s="124"/>
      <c r="AB604" s="124"/>
    </row>
    <row r="605" spans="1:28" ht="14.25" customHeight="1" x14ac:dyDescent="0.25">
      <c r="A605" s="124"/>
      <c r="B605" s="124"/>
      <c r="C605" s="135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  <c r="AA605" s="124"/>
      <c r="AB605" s="124"/>
    </row>
    <row r="606" spans="1:28" ht="14.25" customHeight="1" x14ac:dyDescent="0.25">
      <c r="A606" s="124"/>
      <c r="B606" s="124"/>
      <c r="C606" s="135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  <c r="AA606" s="124"/>
      <c r="AB606" s="124"/>
    </row>
    <row r="607" spans="1:28" ht="14.25" customHeight="1" x14ac:dyDescent="0.25">
      <c r="A607" s="124"/>
      <c r="B607" s="124"/>
      <c r="C607" s="135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  <c r="AA607" s="124"/>
      <c r="AB607" s="124"/>
    </row>
    <row r="608" spans="1:28" ht="14.25" customHeight="1" x14ac:dyDescent="0.25">
      <c r="A608" s="124"/>
      <c r="B608" s="124"/>
      <c r="C608" s="135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  <c r="AA608" s="124"/>
      <c r="AB608" s="124"/>
    </row>
    <row r="609" spans="1:28" ht="14.25" customHeight="1" x14ac:dyDescent="0.25">
      <c r="A609" s="124"/>
      <c r="B609" s="124"/>
      <c r="C609" s="135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  <c r="AA609" s="124"/>
      <c r="AB609" s="124"/>
    </row>
    <row r="610" spans="1:28" ht="14.25" customHeight="1" x14ac:dyDescent="0.25">
      <c r="A610" s="124"/>
      <c r="B610" s="124"/>
      <c r="C610" s="135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  <c r="Z610" s="124"/>
      <c r="AA610" s="124"/>
      <c r="AB610" s="124"/>
    </row>
    <row r="611" spans="1:28" ht="14.25" customHeight="1" x14ac:dyDescent="0.25">
      <c r="A611" s="124"/>
      <c r="B611" s="124"/>
      <c r="C611" s="135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  <c r="AA611" s="124"/>
      <c r="AB611" s="124"/>
    </row>
    <row r="612" spans="1:28" ht="14.25" customHeight="1" x14ac:dyDescent="0.25">
      <c r="A612" s="124"/>
      <c r="B612" s="124"/>
      <c r="C612" s="135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  <c r="AA612" s="124"/>
      <c r="AB612" s="124"/>
    </row>
    <row r="613" spans="1:28" ht="14.25" customHeight="1" x14ac:dyDescent="0.25">
      <c r="A613" s="124"/>
      <c r="B613" s="124"/>
      <c r="C613" s="135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  <c r="AA613" s="124"/>
      <c r="AB613" s="124"/>
    </row>
    <row r="614" spans="1:28" ht="14.25" customHeight="1" x14ac:dyDescent="0.25">
      <c r="A614" s="124"/>
      <c r="B614" s="124"/>
      <c r="C614" s="135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  <c r="AA614" s="124"/>
      <c r="AB614" s="124"/>
    </row>
    <row r="615" spans="1:28" ht="14.25" customHeight="1" x14ac:dyDescent="0.25">
      <c r="A615" s="124"/>
      <c r="B615" s="124"/>
      <c r="C615" s="135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  <c r="AA615" s="124"/>
      <c r="AB615" s="124"/>
    </row>
    <row r="616" spans="1:28" ht="14.25" customHeight="1" x14ac:dyDescent="0.25">
      <c r="A616" s="124"/>
      <c r="B616" s="124"/>
      <c r="C616" s="135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  <c r="AA616" s="124"/>
      <c r="AB616" s="124"/>
    </row>
    <row r="617" spans="1:28" ht="14.25" customHeight="1" x14ac:dyDescent="0.25">
      <c r="A617" s="124"/>
      <c r="B617" s="124"/>
      <c r="C617" s="135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  <c r="AA617" s="124"/>
      <c r="AB617" s="124"/>
    </row>
    <row r="618" spans="1:28" ht="14.25" customHeight="1" x14ac:dyDescent="0.25">
      <c r="A618" s="124"/>
      <c r="B618" s="124"/>
      <c r="C618" s="135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  <c r="AA618" s="124"/>
      <c r="AB618" s="124"/>
    </row>
    <row r="619" spans="1:28" ht="14.25" customHeight="1" x14ac:dyDescent="0.25">
      <c r="A619" s="124"/>
      <c r="B619" s="124"/>
      <c r="C619" s="135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  <c r="V619" s="124"/>
      <c r="W619" s="124"/>
      <c r="X619" s="124"/>
      <c r="Y619" s="124"/>
      <c r="Z619" s="124"/>
      <c r="AA619" s="124"/>
      <c r="AB619" s="124"/>
    </row>
    <row r="620" spans="1:28" ht="14.25" customHeight="1" x14ac:dyDescent="0.25">
      <c r="A620" s="124"/>
      <c r="B620" s="124"/>
      <c r="C620" s="135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  <c r="AA620" s="124"/>
      <c r="AB620" s="124"/>
    </row>
    <row r="621" spans="1:28" ht="14.25" customHeight="1" x14ac:dyDescent="0.25">
      <c r="A621" s="124"/>
      <c r="B621" s="124"/>
      <c r="C621" s="135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  <c r="V621" s="124"/>
      <c r="W621" s="124"/>
      <c r="X621" s="124"/>
      <c r="Y621" s="124"/>
      <c r="Z621" s="124"/>
      <c r="AA621" s="124"/>
      <c r="AB621" s="124"/>
    </row>
    <row r="622" spans="1:28" ht="14.25" customHeight="1" x14ac:dyDescent="0.25">
      <c r="A622" s="124"/>
      <c r="B622" s="124"/>
      <c r="C622" s="135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  <c r="AA622" s="124"/>
      <c r="AB622" s="124"/>
    </row>
    <row r="623" spans="1:28" ht="14.25" customHeight="1" x14ac:dyDescent="0.25">
      <c r="A623" s="124"/>
      <c r="B623" s="124"/>
      <c r="C623" s="135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  <c r="AA623" s="124"/>
      <c r="AB623" s="124"/>
    </row>
    <row r="624" spans="1:28" ht="14.25" customHeight="1" x14ac:dyDescent="0.25">
      <c r="A624" s="124"/>
      <c r="B624" s="124"/>
      <c r="C624" s="135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  <c r="AA624" s="124"/>
      <c r="AB624" s="124"/>
    </row>
    <row r="625" spans="1:28" ht="14.25" customHeight="1" x14ac:dyDescent="0.25">
      <c r="A625" s="124"/>
      <c r="B625" s="124"/>
      <c r="C625" s="135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  <c r="AA625" s="124"/>
      <c r="AB625" s="124"/>
    </row>
    <row r="626" spans="1:28" ht="14.25" customHeight="1" x14ac:dyDescent="0.25">
      <c r="A626" s="124"/>
      <c r="B626" s="124"/>
      <c r="C626" s="135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  <c r="AA626" s="124"/>
      <c r="AB626" s="124"/>
    </row>
    <row r="627" spans="1:28" ht="14.25" customHeight="1" x14ac:dyDescent="0.25">
      <c r="A627" s="124"/>
      <c r="B627" s="124"/>
      <c r="C627" s="135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  <c r="AA627" s="124"/>
      <c r="AB627" s="124"/>
    </row>
    <row r="628" spans="1:28" ht="14.25" customHeight="1" x14ac:dyDescent="0.25">
      <c r="A628" s="124"/>
      <c r="B628" s="124"/>
      <c r="C628" s="135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</row>
    <row r="629" spans="1:28" ht="14.25" customHeight="1" x14ac:dyDescent="0.25">
      <c r="A629" s="124"/>
      <c r="B629" s="124"/>
      <c r="C629" s="135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  <c r="AA629" s="124"/>
      <c r="AB629" s="124"/>
    </row>
    <row r="630" spans="1:28" ht="14.25" customHeight="1" x14ac:dyDescent="0.25">
      <c r="A630" s="124"/>
      <c r="B630" s="124"/>
      <c r="C630" s="135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</row>
    <row r="631" spans="1:28" ht="14.25" customHeight="1" x14ac:dyDescent="0.25">
      <c r="A631" s="124"/>
      <c r="B631" s="124"/>
      <c r="C631" s="135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</row>
    <row r="632" spans="1:28" ht="14.25" customHeight="1" x14ac:dyDescent="0.25">
      <c r="A632" s="124"/>
      <c r="B632" s="124"/>
      <c r="C632" s="135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  <c r="AA632" s="124"/>
      <c r="AB632" s="124"/>
    </row>
    <row r="633" spans="1:28" ht="14.25" customHeight="1" x14ac:dyDescent="0.25">
      <c r="A633" s="124"/>
      <c r="B633" s="124"/>
      <c r="C633" s="135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  <c r="AA633" s="124"/>
      <c r="AB633" s="124"/>
    </row>
    <row r="634" spans="1:28" ht="14.25" customHeight="1" x14ac:dyDescent="0.25">
      <c r="A634" s="124"/>
      <c r="B634" s="124"/>
      <c r="C634" s="135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  <c r="AA634" s="124"/>
      <c r="AB634" s="124"/>
    </row>
    <row r="635" spans="1:28" ht="14.25" customHeight="1" x14ac:dyDescent="0.25">
      <c r="A635" s="124"/>
      <c r="B635" s="124"/>
      <c r="C635" s="135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  <c r="AA635" s="124"/>
      <c r="AB635" s="124"/>
    </row>
    <row r="636" spans="1:28" ht="14.25" customHeight="1" x14ac:dyDescent="0.25">
      <c r="A636" s="124"/>
      <c r="B636" s="124"/>
      <c r="C636" s="135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  <c r="AA636" s="124"/>
      <c r="AB636" s="124"/>
    </row>
    <row r="637" spans="1:28" ht="14.25" customHeight="1" x14ac:dyDescent="0.25">
      <c r="A637" s="124"/>
      <c r="B637" s="124"/>
      <c r="C637" s="135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  <c r="AA637" s="124"/>
      <c r="AB637" s="124"/>
    </row>
    <row r="638" spans="1:28" ht="14.25" customHeight="1" x14ac:dyDescent="0.25">
      <c r="A638" s="124"/>
      <c r="B638" s="124"/>
      <c r="C638" s="135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  <c r="AA638" s="124"/>
      <c r="AB638" s="124"/>
    </row>
    <row r="639" spans="1:28" ht="14.25" customHeight="1" x14ac:dyDescent="0.25">
      <c r="A639" s="124"/>
      <c r="B639" s="124"/>
      <c r="C639" s="135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  <c r="AA639" s="124"/>
      <c r="AB639" s="124"/>
    </row>
    <row r="640" spans="1:28" ht="14.25" customHeight="1" x14ac:dyDescent="0.25">
      <c r="A640" s="124"/>
      <c r="B640" s="124"/>
      <c r="C640" s="135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  <c r="AA640" s="124"/>
      <c r="AB640" s="124"/>
    </row>
    <row r="641" spans="1:28" ht="14.25" customHeight="1" x14ac:dyDescent="0.25">
      <c r="A641" s="124"/>
      <c r="B641" s="124"/>
      <c r="C641" s="135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  <c r="AA641" s="124"/>
      <c r="AB641" s="124"/>
    </row>
    <row r="642" spans="1:28" ht="14.25" customHeight="1" x14ac:dyDescent="0.25">
      <c r="A642" s="124"/>
      <c r="B642" s="124"/>
      <c r="C642" s="135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  <c r="AA642" s="124"/>
      <c r="AB642" s="124"/>
    </row>
    <row r="643" spans="1:28" ht="14.25" customHeight="1" x14ac:dyDescent="0.25">
      <c r="A643" s="124"/>
      <c r="B643" s="124"/>
      <c r="C643" s="135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  <c r="AA643" s="124"/>
      <c r="AB643" s="124"/>
    </row>
    <row r="644" spans="1:28" ht="14.25" customHeight="1" x14ac:dyDescent="0.25">
      <c r="A644" s="124"/>
      <c r="B644" s="124"/>
      <c r="C644" s="135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  <c r="AA644" s="124"/>
      <c r="AB644" s="124"/>
    </row>
    <row r="645" spans="1:28" ht="14.25" customHeight="1" x14ac:dyDescent="0.25">
      <c r="A645" s="124"/>
      <c r="B645" s="124"/>
      <c r="C645" s="135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  <c r="AA645" s="124"/>
      <c r="AB645" s="124"/>
    </row>
    <row r="646" spans="1:28" ht="14.25" customHeight="1" x14ac:dyDescent="0.25">
      <c r="A646" s="124"/>
      <c r="B646" s="124"/>
      <c r="C646" s="135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  <c r="AA646" s="124"/>
      <c r="AB646" s="124"/>
    </row>
    <row r="647" spans="1:28" ht="14.25" customHeight="1" x14ac:dyDescent="0.25">
      <c r="A647" s="124"/>
      <c r="B647" s="124"/>
      <c r="C647" s="135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  <c r="AA647" s="124"/>
      <c r="AB647" s="124"/>
    </row>
    <row r="648" spans="1:28" ht="14.25" customHeight="1" x14ac:dyDescent="0.25">
      <c r="A648" s="124"/>
      <c r="B648" s="124"/>
      <c r="C648" s="135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  <c r="AA648" s="124"/>
      <c r="AB648" s="124"/>
    </row>
    <row r="649" spans="1:28" ht="14.25" customHeight="1" x14ac:dyDescent="0.25">
      <c r="A649" s="124"/>
      <c r="B649" s="124"/>
      <c r="C649" s="135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  <c r="AA649" s="124"/>
      <c r="AB649" s="124"/>
    </row>
    <row r="650" spans="1:28" ht="14.25" customHeight="1" x14ac:dyDescent="0.25">
      <c r="A650" s="124"/>
      <c r="B650" s="124"/>
      <c r="C650" s="135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  <c r="AA650" s="124"/>
      <c r="AB650" s="124"/>
    </row>
    <row r="651" spans="1:28" ht="14.25" customHeight="1" x14ac:dyDescent="0.25">
      <c r="A651" s="124"/>
      <c r="B651" s="124"/>
      <c r="C651" s="135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  <c r="AA651" s="124"/>
      <c r="AB651" s="124"/>
    </row>
    <row r="652" spans="1:28" ht="14.25" customHeight="1" x14ac:dyDescent="0.25">
      <c r="A652" s="124"/>
      <c r="B652" s="124"/>
      <c r="C652" s="135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  <c r="AA652" s="124"/>
      <c r="AB652" s="124"/>
    </row>
    <row r="653" spans="1:28" ht="14.25" customHeight="1" x14ac:dyDescent="0.25">
      <c r="A653" s="124"/>
      <c r="B653" s="124"/>
      <c r="C653" s="135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  <c r="AA653" s="124"/>
      <c r="AB653" s="124"/>
    </row>
    <row r="654" spans="1:28" ht="14.25" customHeight="1" x14ac:dyDescent="0.25">
      <c r="A654" s="124"/>
      <c r="B654" s="124"/>
      <c r="C654" s="135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  <c r="AA654" s="124"/>
      <c r="AB654" s="124"/>
    </row>
    <row r="655" spans="1:28" ht="14.25" customHeight="1" x14ac:dyDescent="0.25">
      <c r="A655" s="124"/>
      <c r="B655" s="124"/>
      <c r="C655" s="135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  <c r="AA655" s="124"/>
      <c r="AB655" s="124"/>
    </row>
    <row r="656" spans="1:28" ht="14.25" customHeight="1" x14ac:dyDescent="0.25">
      <c r="A656" s="124"/>
      <c r="B656" s="124"/>
      <c r="C656" s="135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  <c r="V656" s="124"/>
      <c r="W656" s="124"/>
      <c r="X656" s="124"/>
      <c r="Y656" s="124"/>
      <c r="Z656" s="124"/>
      <c r="AA656" s="124"/>
      <c r="AB656" s="124"/>
    </row>
    <row r="657" spans="1:28" ht="14.25" customHeight="1" x14ac:dyDescent="0.25">
      <c r="A657" s="124"/>
      <c r="B657" s="124"/>
      <c r="C657" s="135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  <c r="AA657" s="124"/>
      <c r="AB657" s="124"/>
    </row>
    <row r="658" spans="1:28" ht="14.25" customHeight="1" x14ac:dyDescent="0.25">
      <c r="A658" s="124"/>
      <c r="B658" s="124"/>
      <c r="C658" s="135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  <c r="AA658" s="124"/>
      <c r="AB658" s="124"/>
    </row>
    <row r="659" spans="1:28" ht="14.25" customHeight="1" x14ac:dyDescent="0.25">
      <c r="A659" s="124"/>
      <c r="B659" s="124"/>
      <c r="C659" s="135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  <c r="AA659" s="124"/>
      <c r="AB659" s="124"/>
    </row>
    <row r="660" spans="1:28" ht="14.25" customHeight="1" x14ac:dyDescent="0.25">
      <c r="A660" s="124"/>
      <c r="B660" s="124"/>
      <c r="C660" s="135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  <c r="AA660" s="124"/>
      <c r="AB660" s="124"/>
    </row>
    <row r="661" spans="1:28" ht="14.25" customHeight="1" x14ac:dyDescent="0.25">
      <c r="A661" s="124"/>
      <c r="B661" s="124"/>
      <c r="C661" s="135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  <c r="AA661" s="124"/>
      <c r="AB661" s="124"/>
    </row>
    <row r="662" spans="1:28" ht="14.25" customHeight="1" x14ac:dyDescent="0.25">
      <c r="A662" s="124"/>
      <c r="B662" s="124"/>
      <c r="C662" s="135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  <c r="AA662" s="124"/>
      <c r="AB662" s="124"/>
    </row>
    <row r="663" spans="1:28" ht="14.25" customHeight="1" x14ac:dyDescent="0.25">
      <c r="A663" s="124"/>
      <c r="B663" s="124"/>
      <c r="C663" s="135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  <c r="AA663" s="124"/>
      <c r="AB663" s="124"/>
    </row>
    <row r="664" spans="1:28" ht="14.25" customHeight="1" x14ac:dyDescent="0.25">
      <c r="A664" s="124"/>
      <c r="B664" s="124"/>
      <c r="C664" s="135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  <c r="AA664" s="124"/>
      <c r="AB664" s="124"/>
    </row>
    <row r="665" spans="1:28" ht="14.25" customHeight="1" x14ac:dyDescent="0.25">
      <c r="A665" s="124"/>
      <c r="B665" s="124"/>
      <c r="C665" s="135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  <c r="AA665" s="124"/>
      <c r="AB665" s="124"/>
    </row>
    <row r="666" spans="1:28" ht="14.25" customHeight="1" x14ac:dyDescent="0.25">
      <c r="A666" s="124"/>
      <c r="B666" s="124"/>
      <c r="C666" s="135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  <c r="AA666" s="124"/>
      <c r="AB666" s="124"/>
    </row>
    <row r="667" spans="1:28" ht="14.25" customHeight="1" x14ac:dyDescent="0.25">
      <c r="A667" s="124"/>
      <c r="B667" s="124"/>
      <c r="C667" s="135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  <c r="AA667" s="124"/>
      <c r="AB667" s="124"/>
    </row>
    <row r="668" spans="1:28" ht="14.25" customHeight="1" x14ac:dyDescent="0.25">
      <c r="A668" s="124"/>
      <c r="B668" s="124"/>
      <c r="C668" s="135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  <c r="AA668" s="124"/>
      <c r="AB668" s="124"/>
    </row>
    <row r="669" spans="1:28" ht="14.25" customHeight="1" x14ac:dyDescent="0.25">
      <c r="A669" s="124"/>
      <c r="B669" s="124"/>
      <c r="C669" s="135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  <c r="V669" s="124"/>
      <c r="W669" s="124"/>
      <c r="X669" s="124"/>
      <c r="Y669" s="124"/>
      <c r="Z669" s="124"/>
      <c r="AA669" s="124"/>
      <c r="AB669" s="124"/>
    </row>
    <row r="670" spans="1:28" ht="14.25" customHeight="1" x14ac:dyDescent="0.25">
      <c r="A670" s="124"/>
      <c r="B670" s="124"/>
      <c r="C670" s="135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  <c r="AA670" s="124"/>
      <c r="AB670" s="124"/>
    </row>
    <row r="671" spans="1:28" ht="14.25" customHeight="1" x14ac:dyDescent="0.25">
      <c r="A671" s="124"/>
      <c r="B671" s="124"/>
      <c r="C671" s="135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  <c r="AA671" s="124"/>
      <c r="AB671" s="124"/>
    </row>
    <row r="672" spans="1:28" ht="14.25" customHeight="1" x14ac:dyDescent="0.25">
      <c r="A672" s="124"/>
      <c r="B672" s="124"/>
      <c r="C672" s="135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  <c r="AA672" s="124"/>
      <c r="AB672" s="124"/>
    </row>
    <row r="673" spans="1:28" ht="14.25" customHeight="1" x14ac:dyDescent="0.25">
      <c r="A673" s="124"/>
      <c r="B673" s="124"/>
      <c r="C673" s="135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  <c r="U673" s="124"/>
      <c r="V673" s="124"/>
      <c r="W673" s="124"/>
      <c r="X673" s="124"/>
      <c r="Y673" s="124"/>
      <c r="Z673" s="124"/>
      <c r="AA673" s="124"/>
      <c r="AB673" s="124"/>
    </row>
    <row r="674" spans="1:28" ht="14.25" customHeight="1" x14ac:dyDescent="0.25">
      <c r="A674" s="124"/>
      <c r="B674" s="124"/>
      <c r="C674" s="135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  <c r="AA674" s="124"/>
      <c r="AB674" s="124"/>
    </row>
    <row r="675" spans="1:28" ht="14.25" customHeight="1" x14ac:dyDescent="0.25">
      <c r="A675" s="124"/>
      <c r="B675" s="124"/>
      <c r="C675" s="135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  <c r="Z675" s="124"/>
      <c r="AA675" s="124"/>
      <c r="AB675" s="124"/>
    </row>
    <row r="676" spans="1:28" ht="14.25" customHeight="1" x14ac:dyDescent="0.25">
      <c r="A676" s="124"/>
      <c r="B676" s="124"/>
      <c r="C676" s="135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  <c r="AA676" s="124"/>
      <c r="AB676" s="124"/>
    </row>
    <row r="677" spans="1:28" ht="14.25" customHeight="1" x14ac:dyDescent="0.25">
      <c r="A677" s="124"/>
      <c r="B677" s="124"/>
      <c r="C677" s="135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  <c r="AA677" s="124"/>
      <c r="AB677" s="124"/>
    </row>
    <row r="678" spans="1:28" ht="14.25" customHeight="1" x14ac:dyDescent="0.25">
      <c r="A678" s="124"/>
      <c r="B678" s="124"/>
      <c r="C678" s="135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  <c r="U678" s="124"/>
      <c r="V678" s="124"/>
      <c r="W678" s="124"/>
      <c r="X678" s="124"/>
      <c r="Y678" s="124"/>
      <c r="Z678" s="124"/>
      <c r="AA678" s="124"/>
      <c r="AB678" s="124"/>
    </row>
    <row r="679" spans="1:28" ht="14.25" customHeight="1" x14ac:dyDescent="0.25">
      <c r="A679" s="124"/>
      <c r="B679" s="124"/>
      <c r="C679" s="135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  <c r="AA679" s="124"/>
      <c r="AB679" s="124"/>
    </row>
    <row r="680" spans="1:28" ht="14.25" customHeight="1" x14ac:dyDescent="0.25">
      <c r="A680" s="124"/>
      <c r="B680" s="124"/>
      <c r="C680" s="135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  <c r="AA680" s="124"/>
      <c r="AB680" s="124"/>
    </row>
    <row r="681" spans="1:28" ht="14.25" customHeight="1" x14ac:dyDescent="0.25">
      <c r="A681" s="124"/>
      <c r="B681" s="124"/>
      <c r="C681" s="135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  <c r="U681" s="124"/>
      <c r="V681" s="124"/>
      <c r="W681" s="124"/>
      <c r="X681" s="124"/>
      <c r="Y681" s="124"/>
      <c r="Z681" s="124"/>
      <c r="AA681" s="124"/>
      <c r="AB681" s="124"/>
    </row>
    <row r="682" spans="1:28" ht="14.25" customHeight="1" x14ac:dyDescent="0.25">
      <c r="A682" s="124"/>
      <c r="B682" s="124"/>
      <c r="C682" s="135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  <c r="AA682" s="124"/>
      <c r="AB682" s="124"/>
    </row>
    <row r="683" spans="1:28" ht="14.25" customHeight="1" x14ac:dyDescent="0.25">
      <c r="A683" s="124"/>
      <c r="B683" s="124"/>
      <c r="C683" s="135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  <c r="AA683" s="124"/>
      <c r="AB683" s="124"/>
    </row>
    <row r="684" spans="1:28" ht="14.25" customHeight="1" x14ac:dyDescent="0.25">
      <c r="A684" s="124"/>
      <c r="B684" s="124"/>
      <c r="C684" s="135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  <c r="AA684" s="124"/>
      <c r="AB684" s="124"/>
    </row>
    <row r="685" spans="1:28" ht="14.25" customHeight="1" x14ac:dyDescent="0.25">
      <c r="A685" s="124"/>
      <c r="B685" s="124"/>
      <c r="C685" s="135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  <c r="AA685" s="124"/>
      <c r="AB685" s="124"/>
    </row>
    <row r="686" spans="1:28" ht="14.25" customHeight="1" x14ac:dyDescent="0.25">
      <c r="A686" s="124"/>
      <c r="B686" s="124"/>
      <c r="C686" s="135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  <c r="AA686" s="124"/>
      <c r="AB686" s="124"/>
    </row>
    <row r="687" spans="1:28" ht="14.25" customHeight="1" x14ac:dyDescent="0.25">
      <c r="A687" s="124"/>
      <c r="B687" s="124"/>
      <c r="C687" s="135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  <c r="V687" s="124"/>
      <c r="W687" s="124"/>
      <c r="X687" s="124"/>
      <c r="Y687" s="124"/>
      <c r="Z687" s="124"/>
      <c r="AA687" s="124"/>
      <c r="AB687" s="124"/>
    </row>
    <row r="688" spans="1:28" ht="14.25" customHeight="1" x14ac:dyDescent="0.25">
      <c r="A688" s="124"/>
      <c r="B688" s="124"/>
      <c r="C688" s="135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  <c r="AA688" s="124"/>
      <c r="AB688" s="124"/>
    </row>
    <row r="689" spans="1:28" ht="14.25" customHeight="1" x14ac:dyDescent="0.25">
      <c r="A689" s="124"/>
      <c r="B689" s="124"/>
      <c r="C689" s="135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  <c r="AA689" s="124"/>
      <c r="AB689" s="124"/>
    </row>
    <row r="690" spans="1:28" ht="14.25" customHeight="1" x14ac:dyDescent="0.25">
      <c r="A690" s="124"/>
      <c r="B690" s="124"/>
      <c r="C690" s="135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  <c r="AA690" s="124"/>
      <c r="AB690" s="124"/>
    </row>
    <row r="691" spans="1:28" ht="14.25" customHeight="1" x14ac:dyDescent="0.25">
      <c r="A691" s="124"/>
      <c r="B691" s="124"/>
      <c r="C691" s="135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  <c r="Z691" s="124"/>
      <c r="AA691" s="124"/>
      <c r="AB691" s="124"/>
    </row>
    <row r="692" spans="1:28" ht="14.25" customHeight="1" x14ac:dyDescent="0.25">
      <c r="A692" s="124"/>
      <c r="B692" s="124"/>
      <c r="C692" s="135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  <c r="AA692" s="124"/>
      <c r="AB692" s="124"/>
    </row>
    <row r="693" spans="1:28" ht="14.25" customHeight="1" x14ac:dyDescent="0.25">
      <c r="A693" s="124"/>
      <c r="B693" s="124"/>
      <c r="C693" s="135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  <c r="V693" s="124"/>
      <c r="W693" s="124"/>
      <c r="X693" s="124"/>
      <c r="Y693" s="124"/>
      <c r="Z693" s="124"/>
      <c r="AA693" s="124"/>
      <c r="AB693" s="124"/>
    </row>
    <row r="694" spans="1:28" ht="14.25" customHeight="1" x14ac:dyDescent="0.25">
      <c r="A694" s="124"/>
      <c r="B694" s="124"/>
      <c r="C694" s="135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  <c r="V694" s="124"/>
      <c r="W694" s="124"/>
      <c r="X694" s="124"/>
      <c r="Y694" s="124"/>
      <c r="Z694" s="124"/>
      <c r="AA694" s="124"/>
      <c r="AB694" s="124"/>
    </row>
    <row r="695" spans="1:28" ht="14.25" customHeight="1" x14ac:dyDescent="0.25">
      <c r="A695" s="124"/>
      <c r="B695" s="124"/>
      <c r="C695" s="135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  <c r="V695" s="124"/>
      <c r="W695" s="124"/>
      <c r="X695" s="124"/>
      <c r="Y695" s="124"/>
      <c r="Z695" s="124"/>
      <c r="AA695" s="124"/>
      <c r="AB695" s="124"/>
    </row>
    <row r="696" spans="1:28" ht="14.25" customHeight="1" x14ac:dyDescent="0.25">
      <c r="A696" s="124"/>
      <c r="B696" s="124"/>
      <c r="C696" s="135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  <c r="V696" s="124"/>
      <c r="W696" s="124"/>
      <c r="X696" s="124"/>
      <c r="Y696" s="124"/>
      <c r="Z696" s="124"/>
      <c r="AA696" s="124"/>
      <c r="AB696" s="124"/>
    </row>
    <row r="697" spans="1:28" ht="14.25" customHeight="1" x14ac:dyDescent="0.25">
      <c r="A697" s="124"/>
      <c r="B697" s="124"/>
      <c r="C697" s="135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  <c r="AA697" s="124"/>
      <c r="AB697" s="124"/>
    </row>
    <row r="698" spans="1:28" ht="14.25" customHeight="1" x14ac:dyDescent="0.25">
      <c r="A698" s="124"/>
      <c r="B698" s="124"/>
      <c r="C698" s="135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  <c r="AA698" s="124"/>
      <c r="AB698" s="124"/>
    </row>
    <row r="699" spans="1:28" ht="14.25" customHeight="1" x14ac:dyDescent="0.25">
      <c r="A699" s="124"/>
      <c r="B699" s="124"/>
      <c r="C699" s="135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124"/>
      <c r="W699" s="124"/>
      <c r="X699" s="124"/>
      <c r="Y699" s="124"/>
      <c r="Z699" s="124"/>
      <c r="AA699" s="124"/>
      <c r="AB699" s="124"/>
    </row>
    <row r="700" spans="1:28" ht="14.25" customHeight="1" x14ac:dyDescent="0.25">
      <c r="A700" s="124"/>
      <c r="B700" s="124"/>
      <c r="C700" s="135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  <c r="AA700" s="124"/>
      <c r="AB700" s="124"/>
    </row>
    <row r="701" spans="1:28" ht="14.25" customHeight="1" x14ac:dyDescent="0.25">
      <c r="A701" s="124"/>
      <c r="B701" s="124"/>
      <c r="C701" s="135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124"/>
      <c r="AA701" s="124"/>
      <c r="AB701" s="124"/>
    </row>
    <row r="702" spans="1:28" ht="14.25" customHeight="1" x14ac:dyDescent="0.25">
      <c r="A702" s="124"/>
      <c r="B702" s="124"/>
      <c r="C702" s="135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  <c r="AA702" s="124"/>
      <c r="AB702" s="124"/>
    </row>
    <row r="703" spans="1:28" ht="14.25" customHeight="1" x14ac:dyDescent="0.25">
      <c r="A703" s="124"/>
      <c r="B703" s="124"/>
      <c r="C703" s="135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  <c r="AA703" s="124"/>
      <c r="AB703" s="124"/>
    </row>
    <row r="704" spans="1:28" ht="14.25" customHeight="1" x14ac:dyDescent="0.25">
      <c r="A704" s="124"/>
      <c r="B704" s="124"/>
      <c r="C704" s="135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  <c r="AA704" s="124"/>
      <c r="AB704" s="124"/>
    </row>
    <row r="705" spans="1:28" ht="14.25" customHeight="1" x14ac:dyDescent="0.25">
      <c r="A705" s="124"/>
      <c r="B705" s="124"/>
      <c r="C705" s="135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  <c r="AA705" s="124"/>
      <c r="AB705" s="124"/>
    </row>
    <row r="706" spans="1:28" ht="14.25" customHeight="1" x14ac:dyDescent="0.25">
      <c r="A706" s="124"/>
      <c r="B706" s="124"/>
      <c r="C706" s="135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  <c r="AA706" s="124"/>
      <c r="AB706" s="124"/>
    </row>
    <row r="707" spans="1:28" ht="14.25" customHeight="1" x14ac:dyDescent="0.25">
      <c r="A707" s="124"/>
      <c r="B707" s="124"/>
      <c r="C707" s="135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  <c r="AA707" s="124"/>
      <c r="AB707" s="124"/>
    </row>
    <row r="708" spans="1:28" ht="14.25" customHeight="1" x14ac:dyDescent="0.25">
      <c r="A708" s="124"/>
      <c r="B708" s="124"/>
      <c r="C708" s="135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  <c r="AA708" s="124"/>
      <c r="AB708" s="124"/>
    </row>
    <row r="709" spans="1:28" ht="14.25" customHeight="1" x14ac:dyDescent="0.25">
      <c r="A709" s="124"/>
      <c r="B709" s="124"/>
      <c r="C709" s="135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  <c r="AA709" s="124"/>
      <c r="AB709" s="124"/>
    </row>
    <row r="710" spans="1:28" ht="14.25" customHeight="1" x14ac:dyDescent="0.25">
      <c r="A710" s="124"/>
      <c r="B710" s="124"/>
      <c r="C710" s="135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  <c r="U710" s="124"/>
      <c r="V710" s="124"/>
      <c r="W710" s="124"/>
      <c r="X710" s="124"/>
      <c r="Y710" s="124"/>
      <c r="Z710" s="124"/>
      <c r="AA710" s="124"/>
      <c r="AB710" s="124"/>
    </row>
    <row r="711" spans="1:28" ht="14.25" customHeight="1" x14ac:dyDescent="0.25">
      <c r="A711" s="124"/>
      <c r="B711" s="124"/>
      <c r="C711" s="135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  <c r="U711" s="124"/>
      <c r="V711" s="124"/>
      <c r="W711" s="124"/>
      <c r="X711" s="124"/>
      <c r="Y711" s="124"/>
      <c r="Z711" s="124"/>
      <c r="AA711" s="124"/>
      <c r="AB711" s="124"/>
    </row>
    <row r="712" spans="1:28" ht="14.25" customHeight="1" x14ac:dyDescent="0.25">
      <c r="A712" s="124"/>
      <c r="B712" s="124"/>
      <c r="C712" s="135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  <c r="AA712" s="124"/>
      <c r="AB712" s="124"/>
    </row>
    <row r="713" spans="1:28" ht="14.25" customHeight="1" x14ac:dyDescent="0.25">
      <c r="A713" s="124"/>
      <c r="B713" s="124"/>
      <c r="C713" s="135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  <c r="U713" s="124"/>
      <c r="V713" s="124"/>
      <c r="W713" s="124"/>
      <c r="X713" s="124"/>
      <c r="Y713" s="124"/>
      <c r="Z713" s="124"/>
      <c r="AA713" s="124"/>
      <c r="AB713" s="124"/>
    </row>
    <row r="714" spans="1:28" ht="14.25" customHeight="1" x14ac:dyDescent="0.25">
      <c r="A714" s="124"/>
      <c r="B714" s="124"/>
      <c r="C714" s="135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  <c r="AA714" s="124"/>
      <c r="AB714" s="124"/>
    </row>
    <row r="715" spans="1:28" ht="14.25" customHeight="1" x14ac:dyDescent="0.25">
      <c r="A715" s="124"/>
      <c r="B715" s="124"/>
      <c r="C715" s="135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  <c r="AA715" s="124"/>
      <c r="AB715" s="124"/>
    </row>
    <row r="716" spans="1:28" ht="14.25" customHeight="1" x14ac:dyDescent="0.25">
      <c r="A716" s="124"/>
      <c r="B716" s="124"/>
      <c r="C716" s="135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  <c r="AA716" s="124"/>
      <c r="AB716" s="124"/>
    </row>
    <row r="717" spans="1:28" ht="14.25" customHeight="1" x14ac:dyDescent="0.25">
      <c r="A717" s="124"/>
      <c r="B717" s="124"/>
      <c r="C717" s="135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  <c r="U717" s="124"/>
      <c r="V717" s="124"/>
      <c r="W717" s="124"/>
      <c r="X717" s="124"/>
      <c r="Y717" s="124"/>
      <c r="Z717" s="124"/>
      <c r="AA717" s="124"/>
      <c r="AB717" s="124"/>
    </row>
    <row r="718" spans="1:28" ht="14.25" customHeight="1" x14ac:dyDescent="0.25">
      <c r="A718" s="124"/>
      <c r="B718" s="124"/>
      <c r="C718" s="135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  <c r="U718" s="124"/>
      <c r="V718" s="124"/>
      <c r="W718" s="124"/>
      <c r="X718" s="124"/>
      <c r="Y718" s="124"/>
      <c r="Z718" s="124"/>
      <c r="AA718" s="124"/>
      <c r="AB718" s="124"/>
    </row>
    <row r="719" spans="1:28" ht="14.25" customHeight="1" x14ac:dyDescent="0.25">
      <c r="A719" s="124"/>
      <c r="B719" s="124"/>
      <c r="C719" s="135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  <c r="U719" s="124"/>
      <c r="V719" s="124"/>
      <c r="W719" s="124"/>
      <c r="X719" s="124"/>
      <c r="Y719" s="124"/>
      <c r="Z719" s="124"/>
      <c r="AA719" s="124"/>
      <c r="AB719" s="124"/>
    </row>
    <row r="720" spans="1:28" ht="14.25" customHeight="1" x14ac:dyDescent="0.25">
      <c r="A720" s="124"/>
      <c r="B720" s="124"/>
      <c r="C720" s="135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  <c r="AA720" s="124"/>
      <c r="AB720" s="124"/>
    </row>
    <row r="721" spans="1:28" ht="14.25" customHeight="1" x14ac:dyDescent="0.25">
      <c r="A721" s="124"/>
      <c r="B721" s="124"/>
      <c r="C721" s="135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  <c r="U721" s="124"/>
      <c r="V721" s="124"/>
      <c r="W721" s="124"/>
      <c r="X721" s="124"/>
      <c r="Y721" s="124"/>
      <c r="Z721" s="124"/>
      <c r="AA721" s="124"/>
      <c r="AB721" s="124"/>
    </row>
    <row r="722" spans="1:28" ht="14.25" customHeight="1" x14ac:dyDescent="0.25">
      <c r="A722" s="124"/>
      <c r="B722" s="124"/>
      <c r="C722" s="135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  <c r="Z722" s="124"/>
      <c r="AA722" s="124"/>
      <c r="AB722" s="124"/>
    </row>
    <row r="723" spans="1:28" ht="14.25" customHeight="1" x14ac:dyDescent="0.25">
      <c r="A723" s="124"/>
      <c r="B723" s="124"/>
      <c r="C723" s="135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124"/>
      <c r="AA723" s="124"/>
      <c r="AB723" s="124"/>
    </row>
    <row r="724" spans="1:28" ht="14.25" customHeight="1" x14ac:dyDescent="0.25">
      <c r="A724" s="124"/>
      <c r="B724" s="124"/>
      <c r="C724" s="135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  <c r="AA724" s="124"/>
      <c r="AB724" s="124"/>
    </row>
    <row r="725" spans="1:28" ht="14.25" customHeight="1" x14ac:dyDescent="0.25">
      <c r="A725" s="124"/>
      <c r="B725" s="124"/>
      <c r="C725" s="135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  <c r="AA725" s="124"/>
      <c r="AB725" s="124"/>
    </row>
    <row r="726" spans="1:28" ht="14.25" customHeight="1" x14ac:dyDescent="0.25">
      <c r="A726" s="124"/>
      <c r="B726" s="124"/>
      <c r="C726" s="135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  <c r="AA726" s="124"/>
      <c r="AB726" s="124"/>
    </row>
    <row r="727" spans="1:28" ht="14.25" customHeight="1" x14ac:dyDescent="0.25">
      <c r="A727" s="124"/>
      <c r="B727" s="124"/>
      <c r="C727" s="135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  <c r="AA727" s="124"/>
      <c r="AB727" s="124"/>
    </row>
    <row r="728" spans="1:28" ht="14.25" customHeight="1" x14ac:dyDescent="0.25">
      <c r="A728" s="124"/>
      <c r="B728" s="124"/>
      <c r="C728" s="135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  <c r="AA728" s="124"/>
      <c r="AB728" s="124"/>
    </row>
    <row r="729" spans="1:28" ht="14.25" customHeight="1" x14ac:dyDescent="0.25">
      <c r="A729" s="124"/>
      <c r="B729" s="124"/>
      <c r="C729" s="135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  <c r="AA729" s="124"/>
      <c r="AB729" s="124"/>
    </row>
    <row r="730" spans="1:28" ht="14.25" customHeight="1" x14ac:dyDescent="0.25">
      <c r="A730" s="124"/>
      <c r="B730" s="124"/>
      <c r="C730" s="135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  <c r="AA730" s="124"/>
      <c r="AB730" s="124"/>
    </row>
    <row r="731" spans="1:28" ht="14.25" customHeight="1" x14ac:dyDescent="0.25">
      <c r="A731" s="124"/>
      <c r="B731" s="124"/>
      <c r="C731" s="135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24"/>
      <c r="W731" s="124"/>
      <c r="X731" s="124"/>
      <c r="Y731" s="124"/>
      <c r="Z731" s="124"/>
      <c r="AA731" s="124"/>
      <c r="AB731" s="124"/>
    </row>
    <row r="732" spans="1:28" ht="14.25" customHeight="1" x14ac:dyDescent="0.25">
      <c r="A732" s="124"/>
      <c r="B732" s="124"/>
      <c r="C732" s="135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  <c r="AA732" s="124"/>
      <c r="AB732" s="124"/>
    </row>
    <row r="733" spans="1:28" ht="14.25" customHeight="1" x14ac:dyDescent="0.25">
      <c r="A733" s="124"/>
      <c r="B733" s="124"/>
      <c r="C733" s="135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  <c r="AA733" s="124"/>
      <c r="AB733" s="124"/>
    </row>
    <row r="734" spans="1:28" ht="14.25" customHeight="1" x14ac:dyDescent="0.25">
      <c r="A734" s="124"/>
      <c r="B734" s="124"/>
      <c r="C734" s="135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  <c r="AA734" s="124"/>
      <c r="AB734" s="124"/>
    </row>
    <row r="735" spans="1:28" ht="14.25" customHeight="1" x14ac:dyDescent="0.25">
      <c r="A735" s="124"/>
      <c r="B735" s="124"/>
      <c r="C735" s="135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  <c r="AA735" s="124"/>
      <c r="AB735" s="124"/>
    </row>
    <row r="736" spans="1:28" ht="14.25" customHeight="1" x14ac:dyDescent="0.25">
      <c r="A736" s="124"/>
      <c r="B736" s="124"/>
      <c r="C736" s="135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124"/>
      <c r="AA736" s="124"/>
      <c r="AB736" s="124"/>
    </row>
    <row r="737" spans="1:28" ht="14.25" customHeight="1" x14ac:dyDescent="0.25">
      <c r="A737" s="124"/>
      <c r="B737" s="124"/>
      <c r="C737" s="135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  <c r="AA737" s="124"/>
      <c r="AB737" s="124"/>
    </row>
    <row r="738" spans="1:28" ht="14.25" customHeight="1" x14ac:dyDescent="0.25">
      <c r="A738" s="124"/>
      <c r="B738" s="124"/>
      <c r="C738" s="135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  <c r="AA738" s="124"/>
      <c r="AB738" s="124"/>
    </row>
    <row r="739" spans="1:28" ht="14.25" customHeight="1" x14ac:dyDescent="0.25">
      <c r="A739" s="124"/>
      <c r="B739" s="124"/>
      <c r="C739" s="135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124"/>
      <c r="W739" s="124"/>
      <c r="X739" s="124"/>
      <c r="Y739" s="124"/>
      <c r="Z739" s="124"/>
      <c r="AA739" s="124"/>
      <c r="AB739" s="124"/>
    </row>
    <row r="740" spans="1:28" ht="14.25" customHeight="1" x14ac:dyDescent="0.25">
      <c r="A740" s="124"/>
      <c r="B740" s="124"/>
      <c r="C740" s="135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  <c r="AA740" s="124"/>
      <c r="AB740" s="124"/>
    </row>
    <row r="741" spans="1:28" ht="14.25" customHeight="1" x14ac:dyDescent="0.25">
      <c r="A741" s="124"/>
      <c r="B741" s="124"/>
      <c r="C741" s="135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  <c r="S741" s="124"/>
      <c r="T741" s="124"/>
      <c r="U741" s="124"/>
      <c r="V741" s="124"/>
      <c r="W741" s="124"/>
      <c r="X741" s="124"/>
      <c r="Y741" s="124"/>
      <c r="Z741" s="124"/>
      <c r="AA741" s="124"/>
      <c r="AB741" s="124"/>
    </row>
    <row r="742" spans="1:28" ht="14.25" customHeight="1" x14ac:dyDescent="0.25">
      <c r="A742" s="124"/>
      <c r="B742" s="124"/>
      <c r="C742" s="135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  <c r="AA742" s="124"/>
      <c r="AB742" s="124"/>
    </row>
    <row r="743" spans="1:28" ht="14.25" customHeight="1" x14ac:dyDescent="0.25">
      <c r="A743" s="124"/>
      <c r="B743" s="124"/>
      <c r="C743" s="135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  <c r="AA743" s="124"/>
      <c r="AB743" s="124"/>
    </row>
    <row r="744" spans="1:28" ht="14.25" customHeight="1" x14ac:dyDescent="0.25">
      <c r="A744" s="124"/>
      <c r="B744" s="124"/>
      <c r="C744" s="135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  <c r="AA744" s="124"/>
      <c r="AB744" s="124"/>
    </row>
    <row r="745" spans="1:28" ht="14.25" customHeight="1" x14ac:dyDescent="0.25">
      <c r="A745" s="124"/>
      <c r="B745" s="124"/>
      <c r="C745" s="135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  <c r="S745" s="124"/>
      <c r="T745" s="124"/>
      <c r="U745" s="124"/>
      <c r="V745" s="124"/>
      <c r="W745" s="124"/>
      <c r="X745" s="124"/>
      <c r="Y745" s="124"/>
      <c r="Z745" s="124"/>
      <c r="AA745" s="124"/>
      <c r="AB745" s="124"/>
    </row>
    <row r="746" spans="1:28" ht="14.25" customHeight="1" x14ac:dyDescent="0.25">
      <c r="A746" s="124"/>
      <c r="B746" s="124"/>
      <c r="C746" s="135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  <c r="AA746" s="124"/>
      <c r="AB746" s="124"/>
    </row>
    <row r="747" spans="1:28" ht="14.25" customHeight="1" x14ac:dyDescent="0.25">
      <c r="A747" s="124"/>
      <c r="B747" s="124"/>
      <c r="C747" s="135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124"/>
      <c r="AA747" s="124"/>
      <c r="AB747" s="124"/>
    </row>
    <row r="748" spans="1:28" ht="14.25" customHeight="1" x14ac:dyDescent="0.25">
      <c r="A748" s="124"/>
      <c r="B748" s="124"/>
      <c r="C748" s="135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  <c r="AA748" s="124"/>
      <c r="AB748" s="124"/>
    </row>
    <row r="749" spans="1:28" ht="14.25" customHeight="1" x14ac:dyDescent="0.25">
      <c r="A749" s="124"/>
      <c r="B749" s="124"/>
      <c r="C749" s="135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  <c r="AA749" s="124"/>
      <c r="AB749" s="124"/>
    </row>
    <row r="750" spans="1:28" ht="14.25" customHeight="1" x14ac:dyDescent="0.25">
      <c r="A750" s="124"/>
      <c r="B750" s="124"/>
      <c r="C750" s="135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  <c r="S750" s="124"/>
      <c r="T750" s="124"/>
      <c r="U750" s="124"/>
      <c r="V750" s="124"/>
      <c r="W750" s="124"/>
      <c r="X750" s="124"/>
      <c r="Y750" s="124"/>
      <c r="Z750" s="124"/>
      <c r="AA750" s="124"/>
      <c r="AB750" s="124"/>
    </row>
    <row r="751" spans="1:28" ht="14.25" customHeight="1" x14ac:dyDescent="0.25">
      <c r="A751" s="124"/>
      <c r="B751" s="124"/>
      <c r="C751" s="135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  <c r="AA751" s="124"/>
      <c r="AB751" s="124"/>
    </row>
    <row r="752" spans="1:28" ht="14.25" customHeight="1" x14ac:dyDescent="0.25">
      <c r="A752" s="124"/>
      <c r="B752" s="124"/>
      <c r="C752" s="135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  <c r="AA752" s="124"/>
      <c r="AB752" s="124"/>
    </row>
    <row r="753" spans="1:28" ht="14.25" customHeight="1" x14ac:dyDescent="0.25">
      <c r="A753" s="124"/>
      <c r="B753" s="124"/>
      <c r="C753" s="135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  <c r="AA753" s="124"/>
      <c r="AB753" s="124"/>
    </row>
    <row r="754" spans="1:28" ht="14.25" customHeight="1" x14ac:dyDescent="0.25">
      <c r="A754" s="124"/>
      <c r="B754" s="124"/>
      <c r="C754" s="135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  <c r="AA754" s="124"/>
      <c r="AB754" s="124"/>
    </row>
    <row r="755" spans="1:28" ht="14.25" customHeight="1" x14ac:dyDescent="0.25">
      <c r="A755" s="124"/>
      <c r="B755" s="124"/>
      <c r="C755" s="135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  <c r="AA755" s="124"/>
      <c r="AB755" s="124"/>
    </row>
    <row r="756" spans="1:28" ht="14.25" customHeight="1" x14ac:dyDescent="0.25">
      <c r="A756" s="124"/>
      <c r="B756" s="124"/>
      <c r="C756" s="135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  <c r="AA756" s="124"/>
      <c r="AB756" s="124"/>
    </row>
    <row r="757" spans="1:28" ht="14.25" customHeight="1" x14ac:dyDescent="0.25">
      <c r="A757" s="124"/>
      <c r="B757" s="124"/>
      <c r="C757" s="135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  <c r="AA757" s="124"/>
      <c r="AB757" s="124"/>
    </row>
    <row r="758" spans="1:28" ht="14.25" customHeight="1" x14ac:dyDescent="0.25">
      <c r="A758" s="124"/>
      <c r="B758" s="124"/>
      <c r="C758" s="135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  <c r="AA758" s="124"/>
      <c r="AB758" s="124"/>
    </row>
    <row r="759" spans="1:28" ht="14.25" customHeight="1" x14ac:dyDescent="0.25">
      <c r="A759" s="124"/>
      <c r="B759" s="124"/>
      <c r="C759" s="135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  <c r="AA759" s="124"/>
      <c r="AB759" s="124"/>
    </row>
    <row r="760" spans="1:28" ht="14.25" customHeight="1" x14ac:dyDescent="0.25">
      <c r="A760" s="124"/>
      <c r="B760" s="124"/>
      <c r="C760" s="135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  <c r="AA760" s="124"/>
      <c r="AB760" s="124"/>
    </row>
    <row r="761" spans="1:28" ht="14.25" customHeight="1" x14ac:dyDescent="0.25">
      <c r="A761" s="124"/>
      <c r="B761" s="124"/>
      <c r="C761" s="135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  <c r="AA761" s="124"/>
      <c r="AB761" s="124"/>
    </row>
    <row r="762" spans="1:28" ht="14.25" customHeight="1" x14ac:dyDescent="0.25">
      <c r="A762" s="124"/>
      <c r="B762" s="124"/>
      <c r="C762" s="135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  <c r="AA762" s="124"/>
      <c r="AB762" s="124"/>
    </row>
    <row r="763" spans="1:28" ht="14.25" customHeight="1" x14ac:dyDescent="0.25">
      <c r="A763" s="124"/>
      <c r="B763" s="124"/>
      <c r="C763" s="135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  <c r="AA763" s="124"/>
      <c r="AB763" s="124"/>
    </row>
    <row r="764" spans="1:28" ht="14.25" customHeight="1" x14ac:dyDescent="0.25">
      <c r="A764" s="124"/>
      <c r="B764" s="124"/>
      <c r="C764" s="135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  <c r="AA764" s="124"/>
      <c r="AB764" s="124"/>
    </row>
    <row r="765" spans="1:28" ht="14.25" customHeight="1" x14ac:dyDescent="0.25">
      <c r="A765" s="124"/>
      <c r="B765" s="124"/>
      <c r="C765" s="135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  <c r="S765" s="124"/>
      <c r="T765" s="124"/>
      <c r="U765" s="124"/>
      <c r="V765" s="124"/>
      <c r="W765" s="124"/>
      <c r="X765" s="124"/>
      <c r="Y765" s="124"/>
      <c r="Z765" s="124"/>
      <c r="AA765" s="124"/>
      <c r="AB765" s="124"/>
    </row>
    <row r="766" spans="1:28" ht="14.25" customHeight="1" x14ac:dyDescent="0.25">
      <c r="A766" s="124"/>
      <c r="B766" s="124"/>
      <c r="C766" s="135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  <c r="S766" s="124"/>
      <c r="T766" s="124"/>
      <c r="U766" s="124"/>
      <c r="V766" s="124"/>
      <c r="W766" s="124"/>
      <c r="X766" s="124"/>
      <c r="Y766" s="124"/>
      <c r="Z766" s="124"/>
      <c r="AA766" s="124"/>
      <c r="AB766" s="124"/>
    </row>
    <row r="767" spans="1:28" ht="14.25" customHeight="1" x14ac:dyDescent="0.25">
      <c r="A767" s="124"/>
      <c r="B767" s="124"/>
      <c r="C767" s="135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  <c r="S767" s="124"/>
      <c r="T767" s="124"/>
      <c r="U767" s="124"/>
      <c r="V767" s="124"/>
      <c r="W767" s="124"/>
      <c r="X767" s="124"/>
      <c r="Y767" s="124"/>
      <c r="Z767" s="124"/>
      <c r="AA767" s="124"/>
      <c r="AB767" s="124"/>
    </row>
    <row r="768" spans="1:28" ht="14.25" customHeight="1" x14ac:dyDescent="0.25">
      <c r="A768" s="124"/>
      <c r="B768" s="124"/>
      <c r="C768" s="135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  <c r="AA768" s="124"/>
      <c r="AB768" s="124"/>
    </row>
    <row r="769" spans="1:28" ht="14.25" customHeight="1" x14ac:dyDescent="0.25">
      <c r="A769" s="124"/>
      <c r="B769" s="124"/>
      <c r="C769" s="135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  <c r="AA769" s="124"/>
      <c r="AB769" s="124"/>
    </row>
    <row r="770" spans="1:28" ht="14.25" customHeight="1" x14ac:dyDescent="0.25">
      <c r="A770" s="124"/>
      <c r="B770" s="124"/>
      <c r="C770" s="135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  <c r="AA770" s="124"/>
      <c r="AB770" s="124"/>
    </row>
    <row r="771" spans="1:28" ht="14.25" customHeight="1" x14ac:dyDescent="0.25">
      <c r="A771" s="124"/>
      <c r="B771" s="124"/>
      <c r="C771" s="135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  <c r="Z771" s="124"/>
      <c r="AA771" s="124"/>
      <c r="AB771" s="124"/>
    </row>
    <row r="772" spans="1:28" ht="14.25" customHeight="1" x14ac:dyDescent="0.25">
      <c r="A772" s="124"/>
      <c r="B772" s="124"/>
      <c r="C772" s="135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  <c r="AA772" s="124"/>
      <c r="AB772" s="124"/>
    </row>
    <row r="773" spans="1:28" ht="14.25" customHeight="1" x14ac:dyDescent="0.25">
      <c r="A773" s="124"/>
      <c r="B773" s="124"/>
      <c r="C773" s="135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  <c r="AA773" s="124"/>
      <c r="AB773" s="124"/>
    </row>
    <row r="774" spans="1:28" ht="14.25" customHeight="1" x14ac:dyDescent="0.25">
      <c r="A774" s="124"/>
      <c r="B774" s="124"/>
      <c r="C774" s="135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  <c r="S774" s="124"/>
      <c r="T774" s="124"/>
      <c r="U774" s="124"/>
      <c r="V774" s="124"/>
      <c r="W774" s="124"/>
      <c r="X774" s="124"/>
      <c r="Y774" s="124"/>
      <c r="Z774" s="124"/>
      <c r="AA774" s="124"/>
      <c r="AB774" s="124"/>
    </row>
    <row r="775" spans="1:28" ht="14.25" customHeight="1" x14ac:dyDescent="0.25">
      <c r="A775" s="124"/>
      <c r="B775" s="124"/>
      <c r="C775" s="135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  <c r="S775" s="124"/>
      <c r="T775" s="124"/>
      <c r="U775" s="124"/>
      <c r="V775" s="124"/>
      <c r="W775" s="124"/>
      <c r="X775" s="124"/>
      <c r="Y775" s="124"/>
      <c r="Z775" s="124"/>
      <c r="AA775" s="124"/>
      <c r="AB775" s="124"/>
    </row>
    <row r="776" spans="1:28" ht="14.25" customHeight="1" x14ac:dyDescent="0.25">
      <c r="A776" s="124"/>
      <c r="B776" s="124"/>
      <c r="C776" s="135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  <c r="AA776" s="124"/>
      <c r="AB776" s="124"/>
    </row>
    <row r="777" spans="1:28" ht="14.25" customHeight="1" x14ac:dyDescent="0.25">
      <c r="A777" s="124"/>
      <c r="B777" s="124"/>
      <c r="C777" s="135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  <c r="Z777" s="124"/>
      <c r="AA777" s="124"/>
      <c r="AB777" s="124"/>
    </row>
    <row r="778" spans="1:28" ht="14.25" customHeight="1" x14ac:dyDescent="0.25">
      <c r="A778" s="124"/>
      <c r="B778" s="124"/>
      <c r="C778" s="135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  <c r="AA778" s="124"/>
      <c r="AB778" s="124"/>
    </row>
    <row r="779" spans="1:28" ht="14.25" customHeight="1" x14ac:dyDescent="0.25">
      <c r="A779" s="124"/>
      <c r="B779" s="124"/>
      <c r="C779" s="135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  <c r="AA779" s="124"/>
      <c r="AB779" s="124"/>
    </row>
    <row r="780" spans="1:28" ht="14.25" customHeight="1" x14ac:dyDescent="0.25">
      <c r="A780" s="124"/>
      <c r="B780" s="124"/>
      <c r="C780" s="135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  <c r="AA780" s="124"/>
      <c r="AB780" s="124"/>
    </row>
    <row r="781" spans="1:28" ht="14.25" customHeight="1" x14ac:dyDescent="0.25">
      <c r="A781" s="124"/>
      <c r="B781" s="124"/>
      <c r="C781" s="135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  <c r="AA781" s="124"/>
      <c r="AB781" s="124"/>
    </row>
    <row r="782" spans="1:28" ht="14.25" customHeight="1" x14ac:dyDescent="0.25">
      <c r="A782" s="124"/>
      <c r="B782" s="124"/>
      <c r="C782" s="135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  <c r="AA782" s="124"/>
      <c r="AB782" s="124"/>
    </row>
    <row r="783" spans="1:28" ht="14.25" customHeight="1" x14ac:dyDescent="0.25">
      <c r="A783" s="124"/>
      <c r="B783" s="124"/>
      <c r="C783" s="135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  <c r="AA783" s="124"/>
      <c r="AB783" s="124"/>
    </row>
    <row r="784" spans="1:28" ht="14.25" customHeight="1" x14ac:dyDescent="0.25">
      <c r="A784" s="124"/>
      <c r="B784" s="124"/>
      <c r="C784" s="135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  <c r="AA784" s="124"/>
      <c r="AB784" s="124"/>
    </row>
    <row r="785" spans="1:28" ht="14.25" customHeight="1" x14ac:dyDescent="0.25">
      <c r="A785" s="124"/>
      <c r="B785" s="124"/>
      <c r="C785" s="135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  <c r="AA785" s="124"/>
      <c r="AB785" s="124"/>
    </row>
    <row r="786" spans="1:28" ht="14.25" customHeight="1" x14ac:dyDescent="0.25">
      <c r="A786" s="124"/>
      <c r="B786" s="124"/>
      <c r="C786" s="135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  <c r="AA786" s="124"/>
      <c r="AB786" s="124"/>
    </row>
    <row r="787" spans="1:28" ht="14.25" customHeight="1" x14ac:dyDescent="0.25">
      <c r="A787" s="124"/>
      <c r="B787" s="124"/>
      <c r="C787" s="135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  <c r="AA787" s="124"/>
      <c r="AB787" s="124"/>
    </row>
    <row r="788" spans="1:28" ht="14.25" customHeight="1" x14ac:dyDescent="0.25">
      <c r="A788" s="124"/>
      <c r="B788" s="124"/>
      <c r="C788" s="135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  <c r="AA788" s="124"/>
      <c r="AB788" s="124"/>
    </row>
    <row r="789" spans="1:28" ht="14.25" customHeight="1" x14ac:dyDescent="0.25">
      <c r="A789" s="124"/>
      <c r="B789" s="124"/>
      <c r="C789" s="135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  <c r="Z789" s="124"/>
      <c r="AA789" s="124"/>
      <c r="AB789" s="124"/>
    </row>
    <row r="790" spans="1:28" ht="14.25" customHeight="1" x14ac:dyDescent="0.25">
      <c r="A790" s="124"/>
      <c r="B790" s="124"/>
      <c r="C790" s="135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  <c r="S790" s="124"/>
      <c r="T790" s="124"/>
      <c r="U790" s="124"/>
      <c r="V790" s="124"/>
      <c r="W790" s="124"/>
      <c r="X790" s="124"/>
      <c r="Y790" s="124"/>
      <c r="Z790" s="124"/>
      <c r="AA790" s="124"/>
      <c r="AB790" s="124"/>
    </row>
    <row r="791" spans="1:28" ht="14.25" customHeight="1" x14ac:dyDescent="0.25">
      <c r="A791" s="124"/>
      <c r="B791" s="124"/>
      <c r="C791" s="135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4"/>
      <c r="W791" s="124"/>
      <c r="X791" s="124"/>
      <c r="Y791" s="124"/>
      <c r="Z791" s="124"/>
      <c r="AA791" s="124"/>
      <c r="AB791" s="124"/>
    </row>
    <row r="792" spans="1:28" ht="14.25" customHeight="1" x14ac:dyDescent="0.25">
      <c r="A792" s="124"/>
      <c r="B792" s="124"/>
      <c r="C792" s="135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  <c r="AA792" s="124"/>
      <c r="AB792" s="124"/>
    </row>
    <row r="793" spans="1:28" ht="14.25" customHeight="1" x14ac:dyDescent="0.25">
      <c r="A793" s="124"/>
      <c r="B793" s="124"/>
      <c r="C793" s="135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  <c r="AA793" s="124"/>
      <c r="AB793" s="124"/>
    </row>
    <row r="794" spans="1:28" ht="14.25" customHeight="1" x14ac:dyDescent="0.25">
      <c r="A794" s="124"/>
      <c r="B794" s="124"/>
      <c r="C794" s="135"/>
      <c r="D794" s="124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124"/>
      <c r="S794" s="124"/>
      <c r="T794" s="124"/>
      <c r="U794" s="124"/>
      <c r="V794" s="124"/>
      <c r="W794" s="124"/>
      <c r="X794" s="124"/>
      <c r="Y794" s="124"/>
      <c r="Z794" s="124"/>
      <c r="AA794" s="124"/>
      <c r="AB794" s="124"/>
    </row>
    <row r="795" spans="1:28" ht="14.25" customHeight="1" x14ac:dyDescent="0.25">
      <c r="A795" s="124"/>
      <c r="B795" s="124"/>
      <c r="C795" s="135"/>
      <c r="D795" s="124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124"/>
      <c r="S795" s="124"/>
      <c r="T795" s="124"/>
      <c r="U795" s="124"/>
      <c r="V795" s="124"/>
      <c r="W795" s="124"/>
      <c r="X795" s="124"/>
      <c r="Y795" s="124"/>
      <c r="Z795" s="124"/>
      <c r="AA795" s="124"/>
      <c r="AB795" s="124"/>
    </row>
    <row r="796" spans="1:28" ht="14.25" customHeight="1" x14ac:dyDescent="0.25">
      <c r="A796" s="124"/>
      <c r="B796" s="124"/>
      <c r="C796" s="135"/>
      <c r="D796" s="124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  <c r="AA796" s="124"/>
      <c r="AB796" s="124"/>
    </row>
    <row r="797" spans="1:28" ht="14.25" customHeight="1" x14ac:dyDescent="0.25">
      <c r="A797" s="124"/>
      <c r="B797" s="124"/>
      <c r="C797" s="135"/>
      <c r="D797" s="124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  <c r="AA797" s="124"/>
      <c r="AB797" s="124"/>
    </row>
    <row r="798" spans="1:28" ht="14.25" customHeight="1" x14ac:dyDescent="0.25">
      <c r="A798" s="124"/>
      <c r="B798" s="124"/>
      <c r="C798" s="135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  <c r="U798" s="124"/>
      <c r="V798" s="124"/>
      <c r="W798" s="124"/>
      <c r="X798" s="124"/>
      <c r="Y798" s="124"/>
      <c r="Z798" s="124"/>
      <c r="AA798" s="124"/>
      <c r="AB798" s="124"/>
    </row>
    <row r="799" spans="1:28" ht="14.25" customHeight="1" x14ac:dyDescent="0.25">
      <c r="A799" s="124"/>
      <c r="B799" s="124"/>
      <c r="C799" s="135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  <c r="U799" s="124"/>
      <c r="V799" s="124"/>
      <c r="W799" s="124"/>
      <c r="X799" s="124"/>
      <c r="Y799" s="124"/>
      <c r="Z799" s="124"/>
      <c r="AA799" s="124"/>
      <c r="AB799" s="124"/>
    </row>
    <row r="800" spans="1:28" ht="14.25" customHeight="1" x14ac:dyDescent="0.25">
      <c r="A800" s="124"/>
      <c r="B800" s="124"/>
      <c r="C800" s="135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  <c r="Z800" s="124"/>
      <c r="AA800" s="124"/>
      <c r="AB800" s="124"/>
    </row>
    <row r="801" spans="1:28" ht="14.25" customHeight="1" x14ac:dyDescent="0.25">
      <c r="A801" s="124"/>
      <c r="B801" s="124"/>
      <c r="C801" s="135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  <c r="AA801" s="124"/>
      <c r="AB801" s="124"/>
    </row>
    <row r="802" spans="1:28" ht="14.25" customHeight="1" x14ac:dyDescent="0.25">
      <c r="A802" s="124"/>
      <c r="B802" s="124"/>
      <c r="C802" s="135"/>
      <c r="D802" s="124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  <c r="AA802" s="124"/>
      <c r="AB802" s="124"/>
    </row>
    <row r="803" spans="1:28" ht="14.25" customHeight="1" x14ac:dyDescent="0.25">
      <c r="A803" s="124"/>
      <c r="B803" s="124"/>
      <c r="C803" s="135"/>
      <c r="D803" s="124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  <c r="AA803" s="124"/>
      <c r="AB803" s="124"/>
    </row>
    <row r="804" spans="1:28" ht="14.25" customHeight="1" x14ac:dyDescent="0.25">
      <c r="A804" s="124"/>
      <c r="B804" s="124"/>
      <c r="C804" s="135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  <c r="AA804" s="124"/>
      <c r="AB804" s="124"/>
    </row>
    <row r="805" spans="1:28" ht="14.25" customHeight="1" x14ac:dyDescent="0.25">
      <c r="A805" s="124"/>
      <c r="B805" s="124"/>
      <c r="C805" s="135"/>
      <c r="D805" s="124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  <c r="AA805" s="124"/>
      <c r="AB805" s="124"/>
    </row>
    <row r="806" spans="1:28" ht="14.25" customHeight="1" x14ac:dyDescent="0.25">
      <c r="A806" s="124"/>
      <c r="B806" s="124"/>
      <c r="C806" s="135"/>
      <c r="D806" s="124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  <c r="AA806" s="124"/>
      <c r="AB806" s="124"/>
    </row>
    <row r="807" spans="1:28" ht="14.25" customHeight="1" x14ac:dyDescent="0.25">
      <c r="A807" s="124"/>
      <c r="B807" s="124"/>
      <c r="C807" s="135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  <c r="AA807" s="124"/>
      <c r="AB807" s="124"/>
    </row>
    <row r="808" spans="1:28" ht="14.25" customHeight="1" x14ac:dyDescent="0.25">
      <c r="A808" s="124"/>
      <c r="B808" s="124"/>
      <c r="C808" s="135"/>
      <c r="D808" s="124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  <c r="U808" s="124"/>
      <c r="V808" s="124"/>
      <c r="W808" s="124"/>
      <c r="X808" s="124"/>
      <c r="Y808" s="124"/>
      <c r="Z808" s="124"/>
      <c r="AA808" s="124"/>
      <c r="AB808" s="124"/>
    </row>
    <row r="809" spans="1:28" ht="14.25" customHeight="1" x14ac:dyDescent="0.25">
      <c r="A809" s="124"/>
      <c r="B809" s="124"/>
      <c r="C809" s="135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  <c r="AA809" s="124"/>
      <c r="AB809" s="124"/>
    </row>
    <row r="810" spans="1:28" ht="14.25" customHeight="1" x14ac:dyDescent="0.25">
      <c r="A810" s="124"/>
      <c r="B810" s="124"/>
      <c r="C810" s="135"/>
      <c r="D810" s="124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  <c r="U810" s="124"/>
      <c r="V810" s="124"/>
      <c r="W810" s="124"/>
      <c r="X810" s="124"/>
      <c r="Y810" s="124"/>
      <c r="Z810" s="124"/>
      <c r="AA810" s="124"/>
      <c r="AB810" s="124"/>
    </row>
    <row r="811" spans="1:28" ht="14.25" customHeight="1" x14ac:dyDescent="0.25">
      <c r="A811" s="124"/>
      <c r="B811" s="124"/>
      <c r="C811" s="135"/>
      <c r="D811" s="124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  <c r="U811" s="124"/>
      <c r="V811" s="124"/>
      <c r="W811" s="124"/>
      <c r="X811" s="124"/>
      <c r="Y811" s="124"/>
      <c r="Z811" s="124"/>
      <c r="AA811" s="124"/>
      <c r="AB811" s="124"/>
    </row>
    <row r="812" spans="1:28" ht="14.25" customHeight="1" x14ac:dyDescent="0.25">
      <c r="A812" s="124"/>
      <c r="B812" s="124"/>
      <c r="C812" s="135"/>
      <c r="D812" s="124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  <c r="U812" s="124"/>
      <c r="V812" s="124"/>
      <c r="W812" s="124"/>
      <c r="X812" s="124"/>
      <c r="Y812" s="124"/>
      <c r="Z812" s="124"/>
      <c r="AA812" s="124"/>
      <c r="AB812" s="124"/>
    </row>
    <row r="813" spans="1:28" ht="14.25" customHeight="1" x14ac:dyDescent="0.25">
      <c r="A813" s="124"/>
      <c r="B813" s="124"/>
      <c r="C813" s="135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  <c r="AA813" s="124"/>
      <c r="AB813" s="124"/>
    </row>
    <row r="814" spans="1:28" ht="14.25" customHeight="1" x14ac:dyDescent="0.25">
      <c r="A814" s="124"/>
      <c r="B814" s="124"/>
      <c r="C814" s="135"/>
      <c r="D814" s="124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  <c r="AA814" s="124"/>
      <c r="AB814" s="124"/>
    </row>
    <row r="815" spans="1:28" ht="14.25" customHeight="1" x14ac:dyDescent="0.25">
      <c r="A815" s="124"/>
      <c r="B815" s="124"/>
      <c r="C815" s="135"/>
      <c r="D815" s="124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  <c r="AA815" s="124"/>
      <c r="AB815" s="124"/>
    </row>
    <row r="816" spans="1:28" ht="14.25" customHeight="1" x14ac:dyDescent="0.25">
      <c r="A816" s="124"/>
      <c r="B816" s="124"/>
      <c r="C816" s="135"/>
      <c r="D816" s="124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  <c r="U816" s="124"/>
      <c r="V816" s="124"/>
      <c r="W816" s="124"/>
      <c r="X816" s="124"/>
      <c r="Y816" s="124"/>
      <c r="Z816" s="124"/>
      <c r="AA816" s="124"/>
      <c r="AB816" s="124"/>
    </row>
    <row r="817" spans="1:28" ht="14.25" customHeight="1" x14ac:dyDescent="0.25">
      <c r="A817" s="124"/>
      <c r="B817" s="124"/>
      <c r="C817" s="135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  <c r="U817" s="124"/>
      <c r="V817" s="124"/>
      <c r="W817" s="124"/>
      <c r="X817" s="124"/>
      <c r="Y817" s="124"/>
      <c r="Z817" s="124"/>
      <c r="AA817" s="124"/>
      <c r="AB817" s="124"/>
    </row>
    <row r="818" spans="1:28" ht="14.25" customHeight="1" x14ac:dyDescent="0.25">
      <c r="A818" s="124"/>
      <c r="B818" s="124"/>
      <c r="C818" s="135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  <c r="AA818" s="124"/>
      <c r="AB818" s="124"/>
    </row>
    <row r="819" spans="1:28" ht="14.25" customHeight="1" x14ac:dyDescent="0.25">
      <c r="A819" s="124"/>
      <c r="B819" s="124"/>
      <c r="C819" s="135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  <c r="U819" s="124"/>
      <c r="V819" s="124"/>
      <c r="W819" s="124"/>
      <c r="X819" s="124"/>
      <c r="Y819" s="124"/>
      <c r="Z819" s="124"/>
      <c r="AA819" s="124"/>
      <c r="AB819" s="124"/>
    </row>
    <row r="820" spans="1:28" ht="14.25" customHeight="1" x14ac:dyDescent="0.25">
      <c r="A820" s="124"/>
      <c r="B820" s="124"/>
      <c r="C820" s="135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  <c r="U820" s="124"/>
      <c r="V820" s="124"/>
      <c r="W820" s="124"/>
      <c r="X820" s="124"/>
      <c r="Y820" s="124"/>
      <c r="Z820" s="124"/>
      <c r="AA820" s="124"/>
      <c r="AB820" s="124"/>
    </row>
    <row r="821" spans="1:28" ht="14.25" customHeight="1" x14ac:dyDescent="0.25">
      <c r="A821" s="124"/>
      <c r="B821" s="124"/>
      <c r="C821" s="135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  <c r="S821" s="124"/>
      <c r="T821" s="124"/>
      <c r="U821" s="124"/>
      <c r="V821" s="124"/>
      <c r="W821" s="124"/>
      <c r="X821" s="124"/>
      <c r="Y821" s="124"/>
      <c r="Z821" s="124"/>
      <c r="AA821" s="124"/>
      <c r="AB821" s="124"/>
    </row>
    <row r="822" spans="1:28" ht="14.25" customHeight="1" x14ac:dyDescent="0.25">
      <c r="A822" s="124"/>
      <c r="B822" s="124"/>
      <c r="C822" s="135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  <c r="S822" s="124"/>
      <c r="T822" s="124"/>
      <c r="U822" s="124"/>
      <c r="V822" s="124"/>
      <c r="W822" s="124"/>
      <c r="X822" s="124"/>
      <c r="Y822" s="124"/>
      <c r="Z822" s="124"/>
      <c r="AA822" s="124"/>
      <c r="AB822" s="124"/>
    </row>
    <row r="823" spans="1:28" ht="14.25" customHeight="1" x14ac:dyDescent="0.25">
      <c r="A823" s="124"/>
      <c r="B823" s="124"/>
      <c r="C823" s="135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  <c r="AA823" s="124"/>
      <c r="AB823" s="124"/>
    </row>
    <row r="824" spans="1:28" ht="14.25" customHeight="1" x14ac:dyDescent="0.25">
      <c r="A824" s="124"/>
      <c r="B824" s="124"/>
      <c r="C824" s="135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  <c r="AA824" s="124"/>
      <c r="AB824" s="124"/>
    </row>
    <row r="825" spans="1:28" ht="14.25" customHeight="1" x14ac:dyDescent="0.25">
      <c r="A825" s="124"/>
      <c r="B825" s="124"/>
      <c r="C825" s="135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4"/>
      <c r="W825" s="124"/>
      <c r="X825" s="124"/>
      <c r="Y825" s="124"/>
      <c r="Z825" s="124"/>
      <c r="AA825" s="124"/>
      <c r="AB825" s="124"/>
    </row>
    <row r="826" spans="1:28" ht="14.25" customHeight="1" x14ac:dyDescent="0.25">
      <c r="A826" s="124"/>
      <c r="B826" s="124"/>
      <c r="C826" s="135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  <c r="AA826" s="124"/>
      <c r="AB826" s="124"/>
    </row>
    <row r="827" spans="1:28" ht="14.25" customHeight="1" x14ac:dyDescent="0.25">
      <c r="A827" s="124"/>
      <c r="B827" s="124"/>
      <c r="C827" s="135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  <c r="S827" s="124"/>
      <c r="T827" s="124"/>
      <c r="U827" s="124"/>
      <c r="V827" s="124"/>
      <c r="W827" s="124"/>
      <c r="X827" s="124"/>
      <c r="Y827" s="124"/>
      <c r="Z827" s="124"/>
      <c r="AA827" s="124"/>
      <c r="AB827" s="124"/>
    </row>
    <row r="828" spans="1:28" ht="14.25" customHeight="1" x14ac:dyDescent="0.25">
      <c r="A828" s="124"/>
      <c r="B828" s="124"/>
      <c r="C828" s="135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  <c r="S828" s="124"/>
      <c r="T828" s="124"/>
      <c r="U828" s="124"/>
      <c r="V828" s="124"/>
      <c r="W828" s="124"/>
      <c r="X828" s="124"/>
      <c r="Y828" s="124"/>
      <c r="Z828" s="124"/>
      <c r="AA828" s="124"/>
      <c r="AB828" s="124"/>
    </row>
    <row r="829" spans="1:28" ht="14.25" customHeight="1" x14ac:dyDescent="0.25">
      <c r="A829" s="124"/>
      <c r="B829" s="124"/>
      <c r="C829" s="135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  <c r="AA829" s="124"/>
      <c r="AB829" s="124"/>
    </row>
    <row r="830" spans="1:28" ht="14.25" customHeight="1" x14ac:dyDescent="0.25">
      <c r="A830" s="124"/>
      <c r="B830" s="124"/>
      <c r="C830" s="135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  <c r="U830" s="124"/>
      <c r="V830" s="124"/>
      <c r="W830" s="124"/>
      <c r="X830" s="124"/>
      <c r="Y830" s="124"/>
      <c r="Z830" s="124"/>
      <c r="AA830" s="124"/>
      <c r="AB830" s="124"/>
    </row>
    <row r="831" spans="1:28" ht="14.25" customHeight="1" x14ac:dyDescent="0.25">
      <c r="A831" s="124"/>
      <c r="B831" s="124"/>
      <c r="C831" s="135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4"/>
      <c r="U831" s="124"/>
      <c r="V831" s="124"/>
      <c r="W831" s="124"/>
      <c r="X831" s="124"/>
      <c r="Y831" s="124"/>
      <c r="Z831" s="124"/>
      <c r="AA831" s="124"/>
      <c r="AB831" s="124"/>
    </row>
    <row r="832" spans="1:28" ht="14.25" customHeight="1" x14ac:dyDescent="0.25">
      <c r="A832" s="124"/>
      <c r="B832" s="124"/>
      <c r="C832" s="135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  <c r="AA832" s="124"/>
      <c r="AB832" s="124"/>
    </row>
    <row r="833" spans="1:28" ht="14.25" customHeight="1" x14ac:dyDescent="0.25">
      <c r="A833" s="124"/>
      <c r="B833" s="124"/>
      <c r="C833" s="135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  <c r="AA833" s="124"/>
      <c r="AB833" s="124"/>
    </row>
    <row r="834" spans="1:28" ht="14.25" customHeight="1" x14ac:dyDescent="0.25">
      <c r="A834" s="124"/>
      <c r="B834" s="124"/>
      <c r="C834" s="135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  <c r="S834" s="124"/>
      <c r="T834" s="124"/>
      <c r="U834" s="124"/>
      <c r="V834" s="124"/>
      <c r="W834" s="124"/>
      <c r="X834" s="124"/>
      <c r="Y834" s="124"/>
      <c r="Z834" s="124"/>
      <c r="AA834" s="124"/>
      <c r="AB834" s="124"/>
    </row>
    <row r="835" spans="1:28" ht="14.25" customHeight="1" x14ac:dyDescent="0.25">
      <c r="A835" s="124"/>
      <c r="B835" s="124"/>
      <c r="C835" s="135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  <c r="S835" s="124"/>
      <c r="T835" s="124"/>
      <c r="U835" s="124"/>
      <c r="V835" s="124"/>
      <c r="W835" s="124"/>
      <c r="X835" s="124"/>
      <c r="Y835" s="124"/>
      <c r="Z835" s="124"/>
      <c r="AA835" s="124"/>
      <c r="AB835" s="124"/>
    </row>
    <row r="836" spans="1:28" ht="14.25" customHeight="1" x14ac:dyDescent="0.25">
      <c r="A836" s="124"/>
      <c r="B836" s="124"/>
      <c r="C836" s="135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124"/>
      <c r="S836" s="124"/>
      <c r="T836" s="124"/>
      <c r="U836" s="124"/>
      <c r="V836" s="124"/>
      <c r="W836" s="124"/>
      <c r="X836" s="124"/>
      <c r="Y836" s="124"/>
      <c r="Z836" s="124"/>
      <c r="AA836" s="124"/>
      <c r="AB836" s="124"/>
    </row>
    <row r="837" spans="1:28" ht="14.25" customHeight="1" x14ac:dyDescent="0.25">
      <c r="A837" s="124"/>
      <c r="B837" s="124"/>
      <c r="C837" s="135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  <c r="AA837" s="124"/>
      <c r="AB837" s="124"/>
    </row>
    <row r="838" spans="1:28" ht="14.25" customHeight="1" x14ac:dyDescent="0.25">
      <c r="A838" s="124"/>
      <c r="B838" s="124"/>
      <c r="C838" s="135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  <c r="AA838" s="124"/>
      <c r="AB838" s="124"/>
    </row>
    <row r="839" spans="1:28" ht="14.25" customHeight="1" x14ac:dyDescent="0.25">
      <c r="A839" s="124"/>
      <c r="B839" s="124"/>
      <c r="C839" s="135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  <c r="AA839" s="124"/>
      <c r="AB839" s="124"/>
    </row>
    <row r="840" spans="1:28" ht="14.25" customHeight="1" x14ac:dyDescent="0.25">
      <c r="A840" s="124"/>
      <c r="B840" s="124"/>
      <c r="C840" s="135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  <c r="Z840" s="124"/>
      <c r="AA840" s="124"/>
      <c r="AB840" s="124"/>
    </row>
    <row r="841" spans="1:28" ht="14.25" customHeight="1" x14ac:dyDescent="0.25">
      <c r="A841" s="124"/>
      <c r="B841" s="124"/>
      <c r="C841" s="135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  <c r="AA841" s="124"/>
      <c r="AB841" s="124"/>
    </row>
    <row r="842" spans="1:28" ht="14.25" customHeight="1" x14ac:dyDescent="0.25">
      <c r="A842" s="124"/>
      <c r="B842" s="124"/>
      <c r="C842" s="135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  <c r="AA842" s="124"/>
      <c r="AB842" s="124"/>
    </row>
    <row r="843" spans="1:28" ht="14.25" customHeight="1" x14ac:dyDescent="0.25">
      <c r="A843" s="124"/>
      <c r="B843" s="124"/>
      <c r="C843" s="135"/>
      <c r="D843" s="124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  <c r="U843" s="124"/>
      <c r="V843" s="124"/>
      <c r="W843" s="124"/>
      <c r="X843" s="124"/>
      <c r="Y843" s="124"/>
      <c r="Z843" s="124"/>
      <c r="AA843" s="124"/>
      <c r="AB843" s="124"/>
    </row>
    <row r="844" spans="1:28" ht="14.25" customHeight="1" x14ac:dyDescent="0.25">
      <c r="A844" s="124"/>
      <c r="B844" s="124"/>
      <c r="C844" s="135"/>
      <c r="D844" s="124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  <c r="U844" s="124"/>
      <c r="V844" s="124"/>
      <c r="W844" s="124"/>
      <c r="X844" s="124"/>
      <c r="Y844" s="124"/>
      <c r="Z844" s="124"/>
      <c r="AA844" s="124"/>
      <c r="AB844" s="124"/>
    </row>
    <row r="845" spans="1:28" ht="14.25" customHeight="1" x14ac:dyDescent="0.25">
      <c r="A845" s="124"/>
      <c r="B845" s="124"/>
      <c r="C845" s="135"/>
      <c r="D845" s="124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  <c r="U845" s="124"/>
      <c r="V845" s="124"/>
      <c r="W845" s="124"/>
      <c r="X845" s="124"/>
      <c r="Y845" s="124"/>
      <c r="Z845" s="124"/>
      <c r="AA845" s="124"/>
      <c r="AB845" s="124"/>
    </row>
    <row r="846" spans="1:28" ht="14.25" customHeight="1" x14ac:dyDescent="0.25">
      <c r="A846" s="124"/>
      <c r="B846" s="124"/>
      <c r="C846" s="135"/>
      <c r="D846" s="124"/>
      <c r="E846" s="124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  <c r="U846" s="124"/>
      <c r="V846" s="124"/>
      <c r="W846" s="124"/>
      <c r="X846" s="124"/>
      <c r="Y846" s="124"/>
      <c r="Z846" s="124"/>
      <c r="AA846" s="124"/>
      <c r="AB846" s="124"/>
    </row>
    <row r="847" spans="1:28" ht="14.25" customHeight="1" x14ac:dyDescent="0.25">
      <c r="A847" s="124"/>
      <c r="B847" s="124"/>
      <c r="C847" s="135"/>
      <c r="D847" s="124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  <c r="AA847" s="124"/>
      <c r="AB847" s="124"/>
    </row>
    <row r="848" spans="1:28" ht="14.25" customHeight="1" x14ac:dyDescent="0.25">
      <c r="A848" s="124"/>
      <c r="B848" s="124"/>
      <c r="C848" s="135"/>
      <c r="D848" s="124"/>
      <c r="E848" s="124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  <c r="U848" s="124"/>
      <c r="V848" s="124"/>
      <c r="W848" s="124"/>
      <c r="X848" s="124"/>
      <c r="Y848" s="124"/>
      <c r="Z848" s="124"/>
      <c r="AA848" s="124"/>
      <c r="AB848" s="124"/>
    </row>
    <row r="849" spans="1:28" ht="14.25" customHeight="1" x14ac:dyDescent="0.25">
      <c r="A849" s="124"/>
      <c r="B849" s="124"/>
      <c r="C849" s="135"/>
      <c r="D849" s="124"/>
      <c r="E849" s="124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  <c r="U849" s="124"/>
      <c r="V849" s="124"/>
      <c r="W849" s="124"/>
      <c r="X849" s="124"/>
      <c r="Y849" s="124"/>
      <c r="Z849" s="124"/>
      <c r="AA849" s="124"/>
      <c r="AB849" s="124"/>
    </row>
    <row r="850" spans="1:28" ht="14.25" customHeight="1" x14ac:dyDescent="0.25">
      <c r="A850" s="124"/>
      <c r="B850" s="124"/>
      <c r="C850" s="135"/>
      <c r="D850" s="124"/>
      <c r="E850" s="124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  <c r="AA850" s="124"/>
      <c r="AB850" s="124"/>
    </row>
    <row r="851" spans="1:28" ht="14.25" customHeight="1" x14ac:dyDescent="0.25">
      <c r="A851" s="124"/>
      <c r="B851" s="124"/>
      <c r="C851" s="135"/>
      <c r="D851" s="124"/>
      <c r="E851" s="124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  <c r="AA851" s="124"/>
      <c r="AB851" s="124"/>
    </row>
    <row r="852" spans="1:28" ht="14.25" customHeight="1" x14ac:dyDescent="0.25">
      <c r="A852" s="124"/>
      <c r="B852" s="124"/>
      <c r="C852" s="135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  <c r="AA852" s="124"/>
      <c r="AB852" s="124"/>
    </row>
    <row r="853" spans="1:28" ht="14.25" customHeight="1" x14ac:dyDescent="0.25">
      <c r="A853" s="124"/>
      <c r="B853" s="124"/>
      <c r="C853" s="135"/>
      <c r="D853" s="124"/>
      <c r="E853" s="124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  <c r="AA853" s="124"/>
      <c r="AB853" s="124"/>
    </row>
    <row r="854" spans="1:28" ht="14.25" customHeight="1" x14ac:dyDescent="0.25">
      <c r="A854" s="124"/>
      <c r="B854" s="124"/>
      <c r="C854" s="135"/>
      <c r="D854" s="124"/>
      <c r="E854" s="124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  <c r="AA854" s="124"/>
      <c r="AB854" s="124"/>
    </row>
    <row r="855" spans="1:28" ht="14.25" customHeight="1" x14ac:dyDescent="0.25">
      <c r="A855" s="124"/>
      <c r="B855" s="124"/>
      <c r="C855" s="135"/>
      <c r="D855" s="124"/>
      <c r="E855" s="124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  <c r="U855" s="124"/>
      <c r="V855" s="124"/>
      <c r="W855" s="124"/>
      <c r="X855" s="124"/>
      <c r="Y855" s="124"/>
      <c r="Z855" s="124"/>
      <c r="AA855" s="124"/>
      <c r="AB855" s="124"/>
    </row>
    <row r="856" spans="1:28" ht="14.25" customHeight="1" x14ac:dyDescent="0.25">
      <c r="A856" s="124"/>
      <c r="B856" s="124"/>
      <c r="C856" s="135"/>
      <c r="D856" s="124"/>
      <c r="E856" s="124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  <c r="U856" s="124"/>
      <c r="V856" s="124"/>
      <c r="W856" s="124"/>
      <c r="X856" s="124"/>
      <c r="Y856" s="124"/>
      <c r="Z856" s="124"/>
      <c r="AA856" s="124"/>
      <c r="AB856" s="124"/>
    </row>
    <row r="857" spans="1:28" ht="14.25" customHeight="1" x14ac:dyDescent="0.25">
      <c r="A857" s="124"/>
      <c r="B857" s="124"/>
      <c r="C857" s="135"/>
      <c r="D857" s="124"/>
      <c r="E857" s="124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  <c r="U857" s="124"/>
      <c r="V857" s="124"/>
      <c r="W857" s="124"/>
      <c r="X857" s="124"/>
      <c r="Y857" s="124"/>
      <c r="Z857" s="124"/>
      <c r="AA857" s="124"/>
      <c r="AB857" s="124"/>
    </row>
    <row r="858" spans="1:28" ht="14.25" customHeight="1" x14ac:dyDescent="0.25">
      <c r="A858" s="124"/>
      <c r="B858" s="124"/>
      <c r="C858" s="135"/>
      <c r="D858" s="124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  <c r="Z858" s="124"/>
      <c r="AA858" s="124"/>
      <c r="AB858" s="124"/>
    </row>
    <row r="859" spans="1:28" ht="14.25" customHeight="1" x14ac:dyDescent="0.25">
      <c r="A859" s="124"/>
      <c r="B859" s="124"/>
      <c r="C859" s="135"/>
      <c r="D859" s="124"/>
      <c r="E859" s="124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  <c r="AA859" s="124"/>
      <c r="AB859" s="124"/>
    </row>
    <row r="860" spans="1:28" ht="14.25" customHeight="1" x14ac:dyDescent="0.25">
      <c r="A860" s="124"/>
      <c r="B860" s="124"/>
      <c r="C860" s="135"/>
      <c r="D860" s="124"/>
      <c r="E860" s="124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  <c r="AA860" s="124"/>
      <c r="AB860" s="124"/>
    </row>
    <row r="861" spans="1:28" ht="14.25" customHeight="1" x14ac:dyDescent="0.25">
      <c r="A861" s="124"/>
      <c r="B861" s="124"/>
      <c r="C861" s="135"/>
      <c r="D861" s="124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  <c r="U861" s="124"/>
      <c r="V861" s="124"/>
      <c r="W861" s="124"/>
      <c r="X861" s="124"/>
      <c r="Y861" s="124"/>
      <c r="Z861" s="124"/>
      <c r="AA861" s="124"/>
      <c r="AB861" s="124"/>
    </row>
    <row r="862" spans="1:28" ht="14.25" customHeight="1" x14ac:dyDescent="0.25">
      <c r="A862" s="124"/>
      <c r="B862" s="124"/>
      <c r="C862" s="135"/>
      <c r="D862" s="124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  <c r="U862" s="124"/>
      <c r="V862" s="124"/>
      <c r="W862" s="124"/>
      <c r="X862" s="124"/>
      <c r="Y862" s="124"/>
      <c r="Z862" s="124"/>
      <c r="AA862" s="124"/>
      <c r="AB862" s="124"/>
    </row>
    <row r="863" spans="1:28" ht="14.25" customHeight="1" x14ac:dyDescent="0.25">
      <c r="A863" s="124"/>
      <c r="B863" s="124"/>
      <c r="C863" s="135"/>
      <c r="D863" s="124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  <c r="AA863" s="124"/>
      <c r="AB863" s="124"/>
    </row>
    <row r="864" spans="1:28" ht="14.25" customHeight="1" x14ac:dyDescent="0.25">
      <c r="A864" s="124"/>
      <c r="B864" s="124"/>
      <c r="C864" s="135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4"/>
      <c r="W864" s="124"/>
      <c r="X864" s="124"/>
      <c r="Y864" s="124"/>
      <c r="Z864" s="124"/>
      <c r="AA864" s="124"/>
      <c r="AB864" s="124"/>
    </row>
    <row r="865" spans="1:28" ht="14.25" customHeight="1" x14ac:dyDescent="0.25">
      <c r="A865" s="124"/>
      <c r="B865" s="124"/>
      <c r="C865" s="135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4"/>
      <c r="W865" s="124"/>
      <c r="X865" s="124"/>
      <c r="Y865" s="124"/>
      <c r="Z865" s="124"/>
      <c r="AA865" s="124"/>
      <c r="AB865" s="124"/>
    </row>
    <row r="866" spans="1:28" ht="14.25" customHeight="1" x14ac:dyDescent="0.25">
      <c r="A866" s="124"/>
      <c r="B866" s="124"/>
      <c r="C866" s="135"/>
      <c r="D866" s="124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124"/>
      <c r="S866" s="124"/>
      <c r="T866" s="124"/>
      <c r="U866" s="124"/>
      <c r="V866" s="124"/>
      <c r="W866" s="124"/>
      <c r="X866" s="124"/>
      <c r="Y866" s="124"/>
      <c r="Z866" s="124"/>
      <c r="AA866" s="124"/>
      <c r="AB866" s="124"/>
    </row>
    <row r="867" spans="1:28" ht="14.25" customHeight="1" x14ac:dyDescent="0.25">
      <c r="A867" s="124"/>
      <c r="B867" s="124"/>
      <c r="C867" s="135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124"/>
      <c r="S867" s="124"/>
      <c r="T867" s="124"/>
      <c r="U867" s="124"/>
      <c r="V867" s="124"/>
      <c r="W867" s="124"/>
      <c r="X867" s="124"/>
      <c r="Y867" s="124"/>
      <c r="Z867" s="124"/>
      <c r="AA867" s="124"/>
      <c r="AB867" s="124"/>
    </row>
    <row r="868" spans="1:28" ht="14.25" customHeight="1" x14ac:dyDescent="0.25">
      <c r="A868" s="124"/>
      <c r="B868" s="124"/>
      <c r="C868" s="135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  <c r="AA868" s="124"/>
      <c r="AB868" s="124"/>
    </row>
    <row r="869" spans="1:28" ht="14.25" customHeight="1" x14ac:dyDescent="0.25">
      <c r="A869" s="124"/>
      <c r="B869" s="124"/>
      <c r="C869" s="135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  <c r="AA869" s="124"/>
      <c r="AB869" s="124"/>
    </row>
    <row r="870" spans="1:28" ht="14.25" customHeight="1" x14ac:dyDescent="0.25">
      <c r="A870" s="124"/>
      <c r="B870" s="124"/>
      <c r="C870" s="135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  <c r="Z870" s="124"/>
      <c r="AA870" s="124"/>
      <c r="AB870" s="124"/>
    </row>
    <row r="871" spans="1:28" ht="14.25" customHeight="1" x14ac:dyDescent="0.25">
      <c r="A871" s="124"/>
      <c r="B871" s="124"/>
      <c r="C871" s="135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  <c r="AA871" s="124"/>
      <c r="AB871" s="124"/>
    </row>
    <row r="872" spans="1:28" ht="14.25" customHeight="1" x14ac:dyDescent="0.25">
      <c r="A872" s="124"/>
      <c r="B872" s="124"/>
      <c r="C872" s="135"/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  <c r="AA872" s="124"/>
      <c r="AB872" s="124"/>
    </row>
    <row r="873" spans="1:28" ht="14.25" customHeight="1" x14ac:dyDescent="0.25">
      <c r="A873" s="124"/>
      <c r="B873" s="124"/>
      <c r="C873" s="135"/>
      <c r="D873" s="124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124"/>
      <c r="S873" s="124"/>
      <c r="T873" s="124"/>
      <c r="U873" s="124"/>
      <c r="V873" s="124"/>
      <c r="W873" s="124"/>
      <c r="X873" s="124"/>
      <c r="Y873" s="124"/>
      <c r="Z873" s="124"/>
      <c r="AA873" s="124"/>
      <c r="AB873" s="124"/>
    </row>
    <row r="874" spans="1:28" ht="14.25" customHeight="1" x14ac:dyDescent="0.25">
      <c r="A874" s="124"/>
      <c r="B874" s="124"/>
      <c r="C874" s="135"/>
      <c r="D874" s="124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  <c r="U874" s="124"/>
      <c r="V874" s="124"/>
      <c r="W874" s="124"/>
      <c r="X874" s="124"/>
      <c r="Y874" s="124"/>
      <c r="Z874" s="124"/>
      <c r="AA874" s="124"/>
      <c r="AB874" s="124"/>
    </row>
    <row r="875" spans="1:28" ht="14.25" customHeight="1" x14ac:dyDescent="0.25">
      <c r="A875" s="124"/>
      <c r="B875" s="124"/>
      <c r="C875" s="135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  <c r="AA875" s="124"/>
      <c r="AB875" s="124"/>
    </row>
    <row r="876" spans="1:28" ht="14.25" customHeight="1" x14ac:dyDescent="0.25">
      <c r="A876" s="124"/>
      <c r="B876" s="124"/>
      <c r="C876" s="135"/>
      <c r="D876" s="124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  <c r="AA876" s="124"/>
      <c r="AB876" s="124"/>
    </row>
    <row r="877" spans="1:28" ht="14.25" customHeight="1" x14ac:dyDescent="0.25">
      <c r="A877" s="124"/>
      <c r="B877" s="124"/>
      <c r="C877" s="135"/>
      <c r="D877" s="124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  <c r="AA877" s="124"/>
      <c r="AB877" s="124"/>
    </row>
    <row r="878" spans="1:28" ht="14.25" customHeight="1" x14ac:dyDescent="0.25">
      <c r="A878" s="124"/>
      <c r="B878" s="124"/>
      <c r="C878" s="135"/>
      <c r="D878" s="124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  <c r="AA878" s="124"/>
      <c r="AB878" s="124"/>
    </row>
    <row r="879" spans="1:28" ht="14.25" customHeight="1" x14ac:dyDescent="0.25">
      <c r="A879" s="124"/>
      <c r="B879" s="124"/>
      <c r="C879" s="135"/>
      <c r="D879" s="124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124"/>
      <c r="S879" s="124"/>
      <c r="T879" s="124"/>
      <c r="U879" s="124"/>
      <c r="V879" s="124"/>
      <c r="W879" s="124"/>
      <c r="X879" s="124"/>
      <c r="Y879" s="124"/>
      <c r="Z879" s="124"/>
      <c r="AA879" s="124"/>
      <c r="AB879" s="124"/>
    </row>
    <row r="880" spans="1:28" ht="14.25" customHeight="1" x14ac:dyDescent="0.25">
      <c r="A880" s="124"/>
      <c r="B880" s="124"/>
      <c r="C880" s="135"/>
      <c r="D880" s="124"/>
      <c r="E880" s="124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  <c r="Q880" s="124"/>
      <c r="R880" s="124"/>
      <c r="S880" s="124"/>
      <c r="T880" s="124"/>
      <c r="U880" s="124"/>
      <c r="V880" s="124"/>
      <c r="W880" s="124"/>
      <c r="X880" s="124"/>
      <c r="Y880" s="124"/>
      <c r="Z880" s="124"/>
      <c r="AA880" s="124"/>
      <c r="AB880" s="124"/>
    </row>
    <row r="881" spans="1:28" ht="14.25" customHeight="1" x14ac:dyDescent="0.25">
      <c r="A881" s="124"/>
      <c r="B881" s="124"/>
      <c r="C881" s="135"/>
      <c r="D881" s="124"/>
      <c r="E881" s="124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  <c r="Q881" s="124"/>
      <c r="R881" s="124"/>
      <c r="S881" s="124"/>
      <c r="T881" s="124"/>
      <c r="U881" s="124"/>
      <c r="V881" s="124"/>
      <c r="W881" s="124"/>
      <c r="X881" s="124"/>
      <c r="Y881" s="124"/>
      <c r="Z881" s="124"/>
      <c r="AA881" s="124"/>
      <c r="AB881" s="124"/>
    </row>
    <row r="882" spans="1:28" ht="14.25" customHeight="1" x14ac:dyDescent="0.25">
      <c r="A882" s="124"/>
      <c r="B882" s="124"/>
      <c r="C882" s="135"/>
      <c r="D882" s="124"/>
      <c r="E882" s="124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  <c r="AA882" s="124"/>
      <c r="AB882" s="124"/>
    </row>
    <row r="883" spans="1:28" ht="14.25" customHeight="1" x14ac:dyDescent="0.25">
      <c r="A883" s="124"/>
      <c r="B883" s="124"/>
      <c r="C883" s="135"/>
      <c r="D883" s="124"/>
      <c r="E883" s="124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  <c r="AA883" s="124"/>
      <c r="AB883" s="124"/>
    </row>
    <row r="884" spans="1:28" ht="14.25" customHeight="1" x14ac:dyDescent="0.25">
      <c r="A884" s="124"/>
      <c r="B884" s="124"/>
      <c r="C884" s="135"/>
      <c r="D884" s="124"/>
      <c r="E884" s="124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  <c r="Q884" s="124"/>
      <c r="R884" s="124"/>
      <c r="S884" s="124"/>
      <c r="T884" s="124"/>
      <c r="U884" s="124"/>
      <c r="V884" s="124"/>
      <c r="W884" s="124"/>
      <c r="X884" s="124"/>
      <c r="Y884" s="124"/>
      <c r="Z884" s="124"/>
      <c r="AA884" s="124"/>
      <c r="AB884" s="124"/>
    </row>
    <row r="885" spans="1:28" ht="14.25" customHeight="1" x14ac:dyDescent="0.25">
      <c r="A885" s="124"/>
      <c r="B885" s="124"/>
      <c r="C885" s="135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  <c r="AA885" s="124"/>
      <c r="AB885" s="124"/>
    </row>
    <row r="886" spans="1:28" ht="14.25" customHeight="1" x14ac:dyDescent="0.25">
      <c r="A886" s="124"/>
      <c r="B886" s="124"/>
      <c r="C886" s="135"/>
      <c r="D886" s="124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  <c r="AA886" s="124"/>
      <c r="AB886" s="124"/>
    </row>
    <row r="887" spans="1:28" ht="14.25" customHeight="1" x14ac:dyDescent="0.25">
      <c r="A887" s="124"/>
      <c r="B887" s="124"/>
      <c r="C887" s="135"/>
      <c r="D887" s="124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  <c r="AA887" s="124"/>
      <c r="AB887" s="124"/>
    </row>
    <row r="888" spans="1:28" ht="14.25" customHeight="1" x14ac:dyDescent="0.25">
      <c r="A888" s="124"/>
      <c r="B888" s="124"/>
      <c r="C888" s="135"/>
      <c r="D888" s="124"/>
      <c r="E888" s="124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  <c r="AA888" s="124"/>
      <c r="AB888" s="124"/>
    </row>
    <row r="889" spans="1:28" ht="14.25" customHeight="1" x14ac:dyDescent="0.25">
      <c r="A889" s="124"/>
      <c r="B889" s="124"/>
      <c r="C889" s="135"/>
      <c r="D889" s="124"/>
      <c r="E889" s="124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  <c r="U889" s="124"/>
      <c r="V889" s="124"/>
      <c r="W889" s="124"/>
      <c r="X889" s="124"/>
      <c r="Y889" s="124"/>
      <c r="Z889" s="124"/>
      <c r="AA889" s="124"/>
      <c r="AB889" s="124"/>
    </row>
    <row r="890" spans="1:28" ht="14.25" customHeight="1" x14ac:dyDescent="0.25">
      <c r="A890" s="124"/>
      <c r="B890" s="124"/>
      <c r="C890" s="135"/>
      <c r="D890" s="124"/>
      <c r="E890" s="124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  <c r="U890" s="124"/>
      <c r="V890" s="124"/>
      <c r="W890" s="124"/>
      <c r="X890" s="124"/>
      <c r="Y890" s="124"/>
      <c r="Z890" s="124"/>
      <c r="AA890" s="124"/>
      <c r="AB890" s="124"/>
    </row>
    <row r="891" spans="1:28" ht="14.25" customHeight="1" x14ac:dyDescent="0.25">
      <c r="A891" s="124"/>
      <c r="B891" s="124"/>
      <c r="C891" s="135"/>
      <c r="D891" s="124"/>
      <c r="E891" s="124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  <c r="U891" s="124"/>
      <c r="V891" s="124"/>
      <c r="W891" s="124"/>
      <c r="X891" s="124"/>
      <c r="Y891" s="124"/>
      <c r="Z891" s="124"/>
      <c r="AA891" s="124"/>
      <c r="AB891" s="124"/>
    </row>
    <row r="892" spans="1:28" ht="14.25" customHeight="1" x14ac:dyDescent="0.25">
      <c r="A892" s="124"/>
      <c r="B892" s="124"/>
      <c r="C892" s="135"/>
      <c r="D892" s="124"/>
      <c r="E892" s="124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  <c r="AA892" s="124"/>
      <c r="AB892" s="124"/>
    </row>
    <row r="893" spans="1:28" ht="14.25" customHeight="1" x14ac:dyDescent="0.25">
      <c r="A893" s="124"/>
      <c r="B893" s="124"/>
      <c r="C893" s="135"/>
      <c r="D893" s="124"/>
      <c r="E893" s="124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  <c r="U893" s="124"/>
      <c r="V893" s="124"/>
      <c r="W893" s="124"/>
      <c r="X893" s="124"/>
      <c r="Y893" s="124"/>
      <c r="Z893" s="124"/>
      <c r="AA893" s="124"/>
      <c r="AB893" s="124"/>
    </row>
    <row r="894" spans="1:28" ht="14.25" customHeight="1" x14ac:dyDescent="0.25">
      <c r="A894" s="124"/>
      <c r="B894" s="124"/>
      <c r="C894" s="135"/>
      <c r="D894" s="124"/>
      <c r="E894" s="124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  <c r="U894" s="124"/>
      <c r="V894" s="124"/>
      <c r="W894" s="124"/>
      <c r="X894" s="124"/>
      <c r="Y894" s="124"/>
      <c r="Z894" s="124"/>
      <c r="AA894" s="124"/>
      <c r="AB894" s="124"/>
    </row>
    <row r="895" spans="1:28" ht="14.25" customHeight="1" x14ac:dyDescent="0.25">
      <c r="A895" s="124"/>
      <c r="B895" s="124"/>
      <c r="C895" s="135"/>
      <c r="D895" s="124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  <c r="AA895" s="124"/>
      <c r="AB895" s="124"/>
    </row>
    <row r="896" spans="1:28" ht="14.25" customHeight="1" x14ac:dyDescent="0.25">
      <c r="A896" s="124"/>
      <c r="B896" s="124"/>
      <c r="C896" s="135"/>
      <c r="D896" s="124"/>
      <c r="E896" s="124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  <c r="AA896" s="124"/>
      <c r="AB896" s="124"/>
    </row>
    <row r="897" spans="1:28" ht="14.25" customHeight="1" x14ac:dyDescent="0.25">
      <c r="A897" s="124"/>
      <c r="B897" s="124"/>
      <c r="C897" s="135"/>
      <c r="D897" s="124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  <c r="AA897" s="124"/>
      <c r="AB897" s="124"/>
    </row>
    <row r="898" spans="1:28" ht="14.25" customHeight="1" x14ac:dyDescent="0.25">
      <c r="A898" s="124"/>
      <c r="B898" s="124"/>
      <c r="C898" s="135"/>
      <c r="D898" s="124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  <c r="AA898" s="124"/>
      <c r="AB898" s="124"/>
    </row>
    <row r="899" spans="1:28" ht="14.25" customHeight="1" x14ac:dyDescent="0.25">
      <c r="A899" s="124"/>
      <c r="B899" s="124"/>
      <c r="C899" s="135"/>
      <c r="D899" s="124"/>
      <c r="E899" s="124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  <c r="AA899" s="124"/>
      <c r="AB899" s="124"/>
    </row>
    <row r="900" spans="1:28" ht="14.25" customHeight="1" x14ac:dyDescent="0.25">
      <c r="A900" s="124"/>
      <c r="B900" s="124"/>
      <c r="C900" s="135"/>
      <c r="D900" s="124"/>
      <c r="E900" s="124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  <c r="AA900" s="124"/>
      <c r="AB900" s="124"/>
    </row>
    <row r="901" spans="1:28" ht="14.25" customHeight="1" x14ac:dyDescent="0.25">
      <c r="A901" s="124"/>
      <c r="B901" s="124"/>
      <c r="C901" s="135"/>
      <c r="D901" s="124"/>
      <c r="E901" s="124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  <c r="AA901" s="124"/>
      <c r="AB901" s="124"/>
    </row>
    <row r="902" spans="1:28" ht="14.25" customHeight="1" x14ac:dyDescent="0.25">
      <c r="A902" s="124"/>
      <c r="B902" s="124"/>
      <c r="C902" s="135"/>
      <c r="D902" s="124"/>
      <c r="E902" s="124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  <c r="AA902" s="124"/>
      <c r="AB902" s="124"/>
    </row>
    <row r="903" spans="1:28" ht="14.25" customHeight="1" x14ac:dyDescent="0.25">
      <c r="A903" s="124"/>
      <c r="B903" s="124"/>
      <c r="C903" s="135"/>
      <c r="D903" s="124"/>
      <c r="E903" s="124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  <c r="AA903" s="124"/>
      <c r="AB903" s="124"/>
    </row>
    <row r="904" spans="1:28" ht="14.25" customHeight="1" x14ac:dyDescent="0.25">
      <c r="A904" s="124"/>
      <c r="B904" s="124"/>
      <c r="C904" s="135"/>
      <c r="D904" s="124"/>
      <c r="E904" s="124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  <c r="AA904" s="124"/>
      <c r="AB904" s="124"/>
    </row>
    <row r="905" spans="1:28" ht="14.25" customHeight="1" x14ac:dyDescent="0.25">
      <c r="A905" s="124"/>
      <c r="B905" s="124"/>
      <c r="C905" s="135"/>
      <c r="D905" s="124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  <c r="AA905" s="124"/>
      <c r="AB905" s="124"/>
    </row>
    <row r="906" spans="1:28" ht="14.25" customHeight="1" x14ac:dyDescent="0.25">
      <c r="A906" s="124"/>
      <c r="B906" s="124"/>
      <c r="C906" s="135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  <c r="Z906" s="124"/>
      <c r="AA906" s="124"/>
      <c r="AB906" s="124"/>
    </row>
    <row r="907" spans="1:28" ht="14.25" customHeight="1" x14ac:dyDescent="0.25">
      <c r="A907" s="124"/>
      <c r="B907" s="124"/>
      <c r="C907" s="135"/>
      <c r="D907" s="124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  <c r="U907" s="124"/>
      <c r="V907" s="124"/>
      <c r="W907" s="124"/>
      <c r="X907" s="124"/>
      <c r="Y907" s="124"/>
      <c r="Z907" s="124"/>
      <c r="AA907" s="124"/>
      <c r="AB907" s="124"/>
    </row>
    <row r="908" spans="1:28" ht="14.25" customHeight="1" x14ac:dyDescent="0.25">
      <c r="A908" s="124"/>
      <c r="B908" s="124"/>
      <c r="C908" s="135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  <c r="Z908" s="124"/>
      <c r="AA908" s="124"/>
      <c r="AB908" s="124"/>
    </row>
    <row r="909" spans="1:28" ht="14.25" customHeight="1" x14ac:dyDescent="0.25">
      <c r="A909" s="124"/>
      <c r="B909" s="124"/>
      <c r="C909" s="135"/>
      <c r="D909" s="124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124"/>
      <c r="S909" s="124"/>
      <c r="T909" s="124"/>
      <c r="U909" s="124"/>
      <c r="V909" s="124"/>
      <c r="W909" s="124"/>
      <c r="X909" s="124"/>
      <c r="Y909" s="124"/>
      <c r="Z909" s="124"/>
      <c r="AA909" s="124"/>
      <c r="AB909" s="124"/>
    </row>
    <row r="910" spans="1:28" ht="14.25" customHeight="1" x14ac:dyDescent="0.25">
      <c r="A910" s="124"/>
      <c r="B910" s="124"/>
      <c r="C910" s="135"/>
      <c r="D910" s="124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124"/>
      <c r="S910" s="124"/>
      <c r="T910" s="124"/>
      <c r="U910" s="124"/>
      <c r="V910" s="124"/>
      <c r="W910" s="124"/>
      <c r="X910" s="124"/>
      <c r="Y910" s="124"/>
      <c r="Z910" s="124"/>
      <c r="AA910" s="124"/>
      <c r="AB910" s="124"/>
    </row>
    <row r="911" spans="1:28" ht="14.25" customHeight="1" x14ac:dyDescent="0.25">
      <c r="A911" s="124"/>
      <c r="B911" s="124"/>
      <c r="C911" s="135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  <c r="AA911" s="124"/>
      <c r="AB911" s="124"/>
    </row>
    <row r="912" spans="1:28" ht="14.25" customHeight="1" x14ac:dyDescent="0.25">
      <c r="A912" s="124"/>
      <c r="B912" s="124"/>
      <c r="C912" s="135"/>
      <c r="D912" s="124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124"/>
      <c r="S912" s="124"/>
      <c r="T912" s="124"/>
      <c r="U912" s="124"/>
      <c r="V912" s="124"/>
      <c r="W912" s="124"/>
      <c r="X912" s="124"/>
      <c r="Y912" s="124"/>
      <c r="Z912" s="124"/>
      <c r="AA912" s="124"/>
      <c r="AB912" s="124"/>
    </row>
    <row r="913" spans="1:28" ht="14.25" customHeight="1" x14ac:dyDescent="0.25">
      <c r="A913" s="124"/>
      <c r="B913" s="124"/>
      <c r="C913" s="135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  <c r="AA913" s="124"/>
      <c r="AB913" s="124"/>
    </row>
    <row r="914" spans="1:28" ht="14.25" customHeight="1" x14ac:dyDescent="0.25">
      <c r="A914" s="124"/>
      <c r="B914" s="124"/>
      <c r="C914" s="135"/>
      <c r="D914" s="124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  <c r="AA914" s="124"/>
      <c r="AB914" s="124"/>
    </row>
    <row r="915" spans="1:28" ht="14.25" customHeight="1" x14ac:dyDescent="0.25">
      <c r="A915" s="124"/>
      <c r="B915" s="124"/>
      <c r="C915" s="135"/>
      <c r="D915" s="124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124"/>
      <c r="S915" s="124"/>
      <c r="T915" s="124"/>
      <c r="U915" s="124"/>
      <c r="V915" s="124"/>
      <c r="W915" s="124"/>
      <c r="X915" s="124"/>
      <c r="Y915" s="124"/>
      <c r="Z915" s="124"/>
      <c r="AA915" s="124"/>
      <c r="AB915" s="124"/>
    </row>
    <row r="916" spans="1:28" ht="14.25" customHeight="1" x14ac:dyDescent="0.25">
      <c r="A916" s="124"/>
      <c r="B916" s="124"/>
      <c r="C916" s="135"/>
      <c r="D916" s="124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124"/>
      <c r="S916" s="124"/>
      <c r="T916" s="124"/>
      <c r="U916" s="124"/>
      <c r="V916" s="124"/>
      <c r="W916" s="124"/>
      <c r="X916" s="124"/>
      <c r="Y916" s="124"/>
      <c r="Z916" s="124"/>
      <c r="AA916" s="124"/>
      <c r="AB916" s="124"/>
    </row>
    <row r="917" spans="1:28" ht="14.25" customHeight="1" x14ac:dyDescent="0.25">
      <c r="A917" s="124"/>
      <c r="B917" s="124"/>
      <c r="C917" s="135"/>
      <c r="D917" s="124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124"/>
      <c r="S917" s="124"/>
      <c r="T917" s="124"/>
      <c r="U917" s="124"/>
      <c r="V917" s="124"/>
      <c r="W917" s="124"/>
      <c r="X917" s="124"/>
      <c r="Y917" s="124"/>
      <c r="Z917" s="124"/>
      <c r="AA917" s="124"/>
      <c r="AB917" s="124"/>
    </row>
    <row r="918" spans="1:28" ht="14.25" customHeight="1" x14ac:dyDescent="0.25">
      <c r="A918" s="124"/>
      <c r="B918" s="124"/>
      <c r="C918" s="135"/>
      <c r="D918" s="124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  <c r="U918" s="124"/>
      <c r="V918" s="124"/>
      <c r="W918" s="124"/>
      <c r="X918" s="124"/>
      <c r="Y918" s="124"/>
      <c r="Z918" s="124"/>
      <c r="AA918" s="124"/>
      <c r="AB918" s="124"/>
    </row>
    <row r="919" spans="1:28" ht="14.25" customHeight="1" x14ac:dyDescent="0.25">
      <c r="A919" s="124"/>
      <c r="B919" s="124"/>
      <c r="C919" s="135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  <c r="Z919" s="124"/>
      <c r="AA919" s="124"/>
      <c r="AB919" s="124"/>
    </row>
    <row r="920" spans="1:28" ht="14.25" customHeight="1" x14ac:dyDescent="0.25">
      <c r="A920" s="124"/>
      <c r="B920" s="124"/>
      <c r="C920" s="135"/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124"/>
      <c r="S920" s="124"/>
      <c r="T920" s="124"/>
      <c r="U920" s="124"/>
      <c r="V920" s="124"/>
      <c r="W920" s="124"/>
      <c r="X920" s="124"/>
      <c r="Y920" s="124"/>
      <c r="Z920" s="124"/>
      <c r="AA920" s="124"/>
      <c r="AB920" s="124"/>
    </row>
    <row r="921" spans="1:28" ht="14.25" customHeight="1" x14ac:dyDescent="0.25">
      <c r="A921" s="124"/>
      <c r="B921" s="124"/>
      <c r="C921" s="135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124"/>
      <c r="S921" s="124"/>
      <c r="T921" s="124"/>
      <c r="U921" s="124"/>
      <c r="V921" s="124"/>
      <c r="W921" s="124"/>
      <c r="X921" s="124"/>
      <c r="Y921" s="124"/>
      <c r="Z921" s="124"/>
      <c r="AA921" s="124"/>
      <c r="AB921" s="124"/>
    </row>
    <row r="922" spans="1:28" ht="14.25" customHeight="1" x14ac:dyDescent="0.25">
      <c r="A922" s="124"/>
      <c r="B922" s="124"/>
      <c r="C922" s="135"/>
      <c r="D922" s="124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  <c r="AA922" s="124"/>
      <c r="AB922" s="124"/>
    </row>
    <row r="923" spans="1:28" ht="14.25" customHeight="1" x14ac:dyDescent="0.25">
      <c r="A923" s="124"/>
      <c r="B923" s="124"/>
      <c r="C923" s="135"/>
      <c r="D923" s="124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  <c r="AA923" s="124"/>
      <c r="AB923" s="124"/>
    </row>
    <row r="924" spans="1:28" ht="14.25" customHeight="1" x14ac:dyDescent="0.25">
      <c r="A924" s="124"/>
      <c r="B924" s="124"/>
      <c r="C924" s="135"/>
      <c r="D924" s="124"/>
      <c r="E924" s="124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  <c r="Q924" s="124"/>
      <c r="R924" s="124"/>
      <c r="S924" s="124"/>
      <c r="T924" s="124"/>
      <c r="U924" s="124"/>
      <c r="V924" s="124"/>
      <c r="W924" s="124"/>
      <c r="X924" s="124"/>
      <c r="Y924" s="124"/>
      <c r="Z924" s="124"/>
      <c r="AA924" s="124"/>
      <c r="AB924" s="124"/>
    </row>
    <row r="925" spans="1:28" ht="14.25" customHeight="1" x14ac:dyDescent="0.25">
      <c r="A925" s="124"/>
      <c r="B925" s="124"/>
      <c r="C925" s="135"/>
      <c r="D925" s="124"/>
      <c r="E925" s="124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  <c r="Q925" s="124"/>
      <c r="R925" s="124"/>
      <c r="S925" s="124"/>
      <c r="T925" s="124"/>
      <c r="U925" s="124"/>
      <c r="V925" s="124"/>
      <c r="W925" s="124"/>
      <c r="X925" s="124"/>
      <c r="Y925" s="124"/>
      <c r="Z925" s="124"/>
      <c r="AA925" s="124"/>
      <c r="AB925" s="124"/>
    </row>
    <row r="926" spans="1:28" ht="14.25" customHeight="1" x14ac:dyDescent="0.25">
      <c r="A926" s="124"/>
      <c r="B926" s="124"/>
      <c r="C926" s="135"/>
      <c r="D926" s="124"/>
      <c r="E926" s="124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  <c r="AA926" s="124"/>
      <c r="AB926" s="124"/>
    </row>
    <row r="927" spans="1:28" ht="14.25" customHeight="1" x14ac:dyDescent="0.25">
      <c r="A927" s="124"/>
      <c r="B927" s="124"/>
      <c r="C927" s="135"/>
      <c r="D927" s="124"/>
      <c r="E927" s="124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  <c r="Q927" s="124"/>
      <c r="R927" s="124"/>
      <c r="S927" s="124"/>
      <c r="T927" s="124"/>
      <c r="U927" s="124"/>
      <c r="V927" s="124"/>
      <c r="W927" s="124"/>
      <c r="X927" s="124"/>
      <c r="Y927" s="124"/>
      <c r="Z927" s="124"/>
      <c r="AA927" s="124"/>
      <c r="AB927" s="124"/>
    </row>
    <row r="928" spans="1:28" ht="14.25" customHeight="1" x14ac:dyDescent="0.25">
      <c r="A928" s="124"/>
      <c r="B928" s="124"/>
      <c r="C928" s="135"/>
      <c r="D928" s="124"/>
      <c r="E928" s="124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  <c r="R928" s="124"/>
      <c r="S928" s="124"/>
      <c r="T928" s="124"/>
      <c r="U928" s="124"/>
      <c r="V928" s="124"/>
      <c r="W928" s="124"/>
      <c r="X928" s="124"/>
      <c r="Y928" s="124"/>
      <c r="Z928" s="124"/>
      <c r="AA928" s="124"/>
      <c r="AB928" s="124"/>
    </row>
    <row r="929" spans="1:28" ht="14.25" customHeight="1" x14ac:dyDescent="0.25">
      <c r="A929" s="124"/>
      <c r="B929" s="124"/>
      <c r="C929" s="135"/>
      <c r="D929" s="124"/>
      <c r="E929" s="124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  <c r="U929" s="124"/>
      <c r="V929" s="124"/>
      <c r="W929" s="124"/>
      <c r="X929" s="124"/>
      <c r="Y929" s="124"/>
      <c r="Z929" s="124"/>
      <c r="AA929" s="124"/>
      <c r="AB929" s="124"/>
    </row>
    <row r="930" spans="1:28" ht="14.25" customHeight="1" x14ac:dyDescent="0.25">
      <c r="A930" s="124"/>
      <c r="B930" s="124"/>
      <c r="C930" s="135"/>
      <c r="D930" s="124"/>
      <c r="E930" s="124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  <c r="Z930" s="124"/>
      <c r="AA930" s="124"/>
      <c r="AB930" s="124"/>
    </row>
    <row r="931" spans="1:28" ht="14.25" customHeight="1" x14ac:dyDescent="0.25">
      <c r="A931" s="124"/>
      <c r="B931" s="124"/>
      <c r="C931" s="135"/>
      <c r="D931" s="124"/>
      <c r="E931" s="124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  <c r="AA931" s="124"/>
      <c r="AB931" s="124"/>
    </row>
    <row r="932" spans="1:28" ht="14.25" customHeight="1" x14ac:dyDescent="0.25">
      <c r="A932" s="124"/>
      <c r="B932" s="124"/>
      <c r="C932" s="135"/>
      <c r="D932" s="124"/>
      <c r="E932" s="124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  <c r="AA932" s="124"/>
      <c r="AB932" s="124"/>
    </row>
    <row r="933" spans="1:28" ht="14.25" customHeight="1" x14ac:dyDescent="0.25">
      <c r="A933" s="124"/>
      <c r="B933" s="124"/>
      <c r="C933" s="135"/>
      <c r="D933" s="124"/>
      <c r="E933" s="124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  <c r="U933" s="124"/>
      <c r="V933" s="124"/>
      <c r="W933" s="124"/>
      <c r="X933" s="124"/>
      <c r="Y933" s="124"/>
      <c r="Z933" s="124"/>
      <c r="AA933" s="124"/>
      <c r="AB933" s="124"/>
    </row>
    <row r="934" spans="1:28" ht="14.25" customHeight="1" x14ac:dyDescent="0.25">
      <c r="A934" s="124"/>
      <c r="B934" s="124"/>
      <c r="C934" s="135"/>
      <c r="D934" s="124"/>
      <c r="E934" s="124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  <c r="U934" s="124"/>
      <c r="V934" s="124"/>
      <c r="W934" s="124"/>
      <c r="X934" s="124"/>
      <c r="Y934" s="124"/>
      <c r="Z934" s="124"/>
      <c r="AA934" s="124"/>
      <c r="AB934" s="124"/>
    </row>
    <row r="935" spans="1:28" ht="14.25" customHeight="1" x14ac:dyDescent="0.25">
      <c r="A935" s="124"/>
      <c r="B935" s="124"/>
      <c r="C935" s="135"/>
      <c r="D935" s="124"/>
      <c r="E935" s="124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  <c r="U935" s="124"/>
      <c r="V935" s="124"/>
      <c r="W935" s="124"/>
      <c r="X935" s="124"/>
      <c r="Y935" s="124"/>
      <c r="Z935" s="124"/>
      <c r="AA935" s="124"/>
      <c r="AB935" s="124"/>
    </row>
    <row r="936" spans="1:28" ht="14.25" customHeight="1" x14ac:dyDescent="0.25">
      <c r="A936" s="124"/>
      <c r="B936" s="124"/>
      <c r="C936" s="135"/>
      <c r="D936" s="124"/>
      <c r="E936" s="124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  <c r="U936" s="124"/>
      <c r="V936" s="124"/>
      <c r="W936" s="124"/>
      <c r="X936" s="124"/>
      <c r="Y936" s="124"/>
      <c r="Z936" s="124"/>
      <c r="AA936" s="124"/>
      <c r="AB936" s="124"/>
    </row>
    <row r="937" spans="1:28" ht="14.25" customHeight="1" x14ac:dyDescent="0.25">
      <c r="A937" s="124"/>
      <c r="B937" s="124"/>
      <c r="C937" s="135"/>
      <c r="D937" s="124"/>
      <c r="E937" s="124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  <c r="AA937" s="124"/>
      <c r="AB937" s="124"/>
    </row>
    <row r="938" spans="1:28" ht="14.25" customHeight="1" x14ac:dyDescent="0.25">
      <c r="A938" s="124"/>
      <c r="B938" s="124"/>
      <c r="C938" s="135"/>
      <c r="D938" s="124"/>
      <c r="E938" s="124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  <c r="U938" s="124"/>
      <c r="V938" s="124"/>
      <c r="W938" s="124"/>
      <c r="X938" s="124"/>
      <c r="Y938" s="124"/>
      <c r="Z938" s="124"/>
      <c r="AA938" s="124"/>
      <c r="AB938" s="124"/>
    </row>
    <row r="939" spans="1:28" ht="14.25" customHeight="1" x14ac:dyDescent="0.25">
      <c r="A939" s="124"/>
      <c r="B939" s="124"/>
      <c r="C939" s="135"/>
      <c r="D939" s="124"/>
      <c r="E939" s="124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  <c r="U939" s="124"/>
      <c r="V939" s="124"/>
      <c r="W939" s="124"/>
      <c r="X939" s="124"/>
      <c r="Y939" s="124"/>
      <c r="Z939" s="124"/>
      <c r="AA939" s="124"/>
      <c r="AB939" s="124"/>
    </row>
    <row r="940" spans="1:28" ht="14.25" customHeight="1" x14ac:dyDescent="0.25">
      <c r="A940" s="124"/>
      <c r="B940" s="124"/>
      <c r="C940" s="135"/>
      <c r="D940" s="124"/>
      <c r="E940" s="124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  <c r="AA940" s="124"/>
      <c r="AB940" s="124"/>
    </row>
    <row r="941" spans="1:28" ht="14.25" customHeight="1" x14ac:dyDescent="0.25">
      <c r="A941" s="124"/>
      <c r="B941" s="124"/>
      <c r="C941" s="135"/>
      <c r="D941" s="124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  <c r="AA941" s="124"/>
      <c r="AB941" s="124"/>
    </row>
    <row r="942" spans="1:28" ht="14.25" customHeight="1" x14ac:dyDescent="0.25">
      <c r="A942" s="124"/>
      <c r="B942" s="124"/>
      <c r="C942" s="135"/>
      <c r="D942" s="124"/>
      <c r="E942" s="124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  <c r="U942" s="124"/>
      <c r="V942" s="124"/>
      <c r="W942" s="124"/>
      <c r="X942" s="124"/>
      <c r="Y942" s="124"/>
      <c r="Z942" s="124"/>
      <c r="AA942" s="124"/>
      <c r="AB942" s="124"/>
    </row>
    <row r="943" spans="1:28" ht="14.25" customHeight="1" x14ac:dyDescent="0.25">
      <c r="A943" s="124"/>
      <c r="B943" s="124"/>
      <c r="C943" s="135"/>
      <c r="D943" s="124"/>
      <c r="E943" s="124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  <c r="U943" s="124"/>
      <c r="V943" s="124"/>
      <c r="W943" s="124"/>
      <c r="X943" s="124"/>
      <c r="Y943" s="124"/>
      <c r="Z943" s="124"/>
      <c r="AA943" s="124"/>
      <c r="AB943" s="124"/>
    </row>
    <row r="944" spans="1:28" ht="14.25" customHeight="1" x14ac:dyDescent="0.25">
      <c r="A944" s="124"/>
      <c r="B944" s="124"/>
      <c r="C944" s="135"/>
      <c r="D944" s="124"/>
      <c r="E944" s="124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  <c r="U944" s="124"/>
      <c r="V944" s="124"/>
      <c r="W944" s="124"/>
      <c r="X944" s="124"/>
      <c r="Y944" s="124"/>
      <c r="Z944" s="124"/>
      <c r="AA944" s="124"/>
      <c r="AB944" s="124"/>
    </row>
    <row r="945" spans="1:28" ht="14.25" customHeight="1" x14ac:dyDescent="0.25">
      <c r="A945" s="124"/>
      <c r="B945" s="124"/>
      <c r="C945" s="135"/>
      <c r="D945" s="124"/>
      <c r="E945" s="124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  <c r="U945" s="124"/>
      <c r="V945" s="124"/>
      <c r="W945" s="124"/>
      <c r="X945" s="124"/>
      <c r="Y945" s="124"/>
      <c r="Z945" s="124"/>
      <c r="AA945" s="124"/>
      <c r="AB945" s="124"/>
    </row>
    <row r="946" spans="1:28" ht="14.25" customHeight="1" x14ac:dyDescent="0.25">
      <c r="A946" s="124"/>
      <c r="B946" s="124"/>
      <c r="C946" s="135"/>
      <c r="D946" s="124"/>
      <c r="E946" s="124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  <c r="U946" s="124"/>
      <c r="V946" s="124"/>
      <c r="W946" s="124"/>
      <c r="X946" s="124"/>
      <c r="Y946" s="124"/>
      <c r="Z946" s="124"/>
      <c r="AA946" s="124"/>
      <c r="AB946" s="124"/>
    </row>
    <row r="947" spans="1:28" ht="14.25" customHeight="1" x14ac:dyDescent="0.25">
      <c r="A947" s="124"/>
      <c r="B947" s="124"/>
      <c r="C947" s="135"/>
      <c r="D947" s="124"/>
      <c r="E947" s="124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  <c r="AA947" s="124"/>
      <c r="AB947" s="124"/>
    </row>
    <row r="948" spans="1:28" ht="14.25" customHeight="1" x14ac:dyDescent="0.25">
      <c r="A948" s="124"/>
      <c r="B948" s="124"/>
      <c r="C948" s="135"/>
      <c r="D948" s="124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  <c r="AA948" s="124"/>
      <c r="AB948" s="124"/>
    </row>
    <row r="949" spans="1:28" ht="14.25" customHeight="1" x14ac:dyDescent="0.25">
      <c r="A949" s="124"/>
      <c r="B949" s="124"/>
      <c r="C949" s="135"/>
      <c r="D949" s="124"/>
      <c r="E949" s="124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  <c r="AA949" s="124"/>
      <c r="AB949" s="124"/>
    </row>
    <row r="950" spans="1:28" ht="14.25" customHeight="1" x14ac:dyDescent="0.25">
      <c r="A950" s="124"/>
      <c r="B950" s="124"/>
      <c r="C950" s="135"/>
      <c r="D950" s="124"/>
      <c r="E950" s="124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  <c r="AA950" s="124"/>
      <c r="AB950" s="124"/>
    </row>
    <row r="951" spans="1:28" ht="14.25" customHeight="1" x14ac:dyDescent="0.25">
      <c r="A951" s="124"/>
      <c r="B951" s="124"/>
      <c r="C951" s="135"/>
      <c r="D951" s="124"/>
      <c r="E951" s="124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  <c r="U951" s="124"/>
      <c r="V951" s="124"/>
      <c r="W951" s="124"/>
      <c r="X951" s="124"/>
      <c r="Y951" s="124"/>
      <c r="Z951" s="124"/>
      <c r="AA951" s="124"/>
      <c r="AB951" s="124"/>
    </row>
    <row r="952" spans="1:28" ht="14.25" customHeight="1" x14ac:dyDescent="0.25">
      <c r="A952" s="124"/>
      <c r="B952" s="124"/>
      <c r="C952" s="135"/>
      <c r="D952" s="124"/>
      <c r="E952" s="124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  <c r="U952" s="124"/>
      <c r="V952" s="124"/>
      <c r="W952" s="124"/>
      <c r="X952" s="124"/>
      <c r="Y952" s="124"/>
      <c r="Z952" s="124"/>
      <c r="AA952" s="124"/>
      <c r="AB952" s="124"/>
    </row>
    <row r="953" spans="1:28" ht="14.25" customHeight="1" x14ac:dyDescent="0.25">
      <c r="A953" s="124"/>
      <c r="B953" s="124"/>
      <c r="C953" s="135"/>
      <c r="D953" s="124"/>
      <c r="E953" s="124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  <c r="Q953" s="124"/>
      <c r="R953" s="124"/>
      <c r="S953" s="124"/>
      <c r="T953" s="124"/>
      <c r="U953" s="124"/>
      <c r="V953" s="124"/>
      <c r="W953" s="124"/>
      <c r="X953" s="124"/>
      <c r="Y953" s="124"/>
      <c r="Z953" s="124"/>
      <c r="AA953" s="124"/>
      <c r="AB953" s="124"/>
    </row>
    <row r="954" spans="1:28" ht="14.25" customHeight="1" x14ac:dyDescent="0.25">
      <c r="A954" s="124"/>
      <c r="B954" s="124"/>
      <c r="C954" s="135"/>
      <c r="D954" s="124"/>
      <c r="E954" s="124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  <c r="Q954" s="124"/>
      <c r="R954" s="124"/>
      <c r="S954" s="124"/>
      <c r="T954" s="124"/>
      <c r="U954" s="124"/>
      <c r="V954" s="124"/>
      <c r="W954" s="124"/>
      <c r="X954" s="124"/>
      <c r="Y954" s="124"/>
      <c r="Z954" s="124"/>
      <c r="AA954" s="124"/>
      <c r="AB954" s="124"/>
    </row>
    <row r="955" spans="1:28" ht="14.25" customHeight="1" x14ac:dyDescent="0.25">
      <c r="A955" s="124"/>
      <c r="B955" s="124"/>
      <c r="C955" s="135"/>
      <c r="D955" s="124"/>
      <c r="E955" s="124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  <c r="Q955" s="124"/>
      <c r="R955" s="124"/>
      <c r="S955" s="124"/>
      <c r="T955" s="124"/>
      <c r="U955" s="124"/>
      <c r="V955" s="124"/>
      <c r="W955" s="124"/>
      <c r="X955" s="124"/>
      <c r="Y955" s="124"/>
      <c r="Z955" s="124"/>
      <c r="AA955" s="124"/>
      <c r="AB955" s="124"/>
    </row>
    <row r="956" spans="1:28" ht="14.25" customHeight="1" x14ac:dyDescent="0.25">
      <c r="A956" s="124"/>
      <c r="B956" s="124"/>
      <c r="C956" s="135"/>
      <c r="D956" s="124"/>
      <c r="E956" s="124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  <c r="AA956" s="124"/>
      <c r="AB956" s="124"/>
    </row>
    <row r="957" spans="1:28" ht="14.25" customHeight="1" x14ac:dyDescent="0.25">
      <c r="A957" s="124"/>
      <c r="B957" s="124"/>
      <c r="C957" s="135"/>
      <c r="D957" s="124"/>
      <c r="E957" s="124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  <c r="AA957" s="124"/>
      <c r="AB957" s="124"/>
    </row>
    <row r="958" spans="1:28" ht="14.25" customHeight="1" x14ac:dyDescent="0.25">
      <c r="A958" s="124"/>
      <c r="B958" s="124"/>
      <c r="C958" s="135"/>
      <c r="D958" s="124"/>
      <c r="E958" s="124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  <c r="AA958" s="124"/>
      <c r="AB958" s="124"/>
    </row>
    <row r="959" spans="1:28" ht="14.25" customHeight="1" x14ac:dyDescent="0.25">
      <c r="A959" s="124"/>
      <c r="B959" s="124"/>
      <c r="C959" s="135"/>
      <c r="D959" s="124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  <c r="AA959" s="124"/>
      <c r="AB959" s="124"/>
    </row>
    <row r="960" spans="1:28" ht="14.25" customHeight="1" x14ac:dyDescent="0.25">
      <c r="A960" s="124"/>
      <c r="B960" s="124"/>
      <c r="C960" s="135"/>
      <c r="D960" s="124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  <c r="Q960" s="124"/>
      <c r="R960" s="124"/>
      <c r="S960" s="124"/>
      <c r="T960" s="124"/>
      <c r="U960" s="124"/>
      <c r="V960" s="124"/>
      <c r="W960" s="124"/>
      <c r="X960" s="124"/>
      <c r="Y960" s="124"/>
      <c r="Z960" s="124"/>
      <c r="AA960" s="124"/>
      <c r="AB960" s="124"/>
    </row>
    <row r="961" spans="1:28" ht="14.25" customHeight="1" x14ac:dyDescent="0.25">
      <c r="A961" s="124"/>
      <c r="B961" s="124"/>
      <c r="C961" s="135"/>
      <c r="D961" s="124"/>
      <c r="E961" s="124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  <c r="Q961" s="124"/>
      <c r="R961" s="124"/>
      <c r="S961" s="124"/>
      <c r="T961" s="124"/>
      <c r="U961" s="124"/>
      <c r="V961" s="124"/>
      <c r="W961" s="124"/>
      <c r="X961" s="124"/>
      <c r="Y961" s="124"/>
      <c r="Z961" s="124"/>
      <c r="AA961" s="124"/>
      <c r="AB961" s="124"/>
    </row>
    <row r="962" spans="1:28" ht="14.25" customHeight="1" x14ac:dyDescent="0.25">
      <c r="A962" s="124"/>
      <c r="B962" s="124"/>
      <c r="C962" s="135"/>
      <c r="D962" s="124"/>
      <c r="E962" s="124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124"/>
      <c r="S962" s="124"/>
      <c r="T962" s="124"/>
      <c r="U962" s="124"/>
      <c r="V962" s="124"/>
      <c r="W962" s="124"/>
      <c r="X962" s="124"/>
      <c r="Y962" s="124"/>
      <c r="Z962" s="124"/>
      <c r="AA962" s="124"/>
      <c r="AB962" s="124"/>
    </row>
    <row r="963" spans="1:28" ht="14.25" customHeight="1" x14ac:dyDescent="0.25">
      <c r="A963" s="124"/>
      <c r="B963" s="124"/>
      <c r="C963" s="135"/>
      <c r="D963" s="124"/>
      <c r="E963" s="124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  <c r="AA963" s="124"/>
      <c r="AB963" s="124"/>
    </row>
    <row r="964" spans="1:28" ht="14.25" customHeight="1" x14ac:dyDescent="0.25">
      <c r="A964" s="124"/>
      <c r="B964" s="124"/>
      <c r="C964" s="135"/>
      <c r="D964" s="124"/>
      <c r="E964" s="124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  <c r="Z964" s="124"/>
      <c r="AA964" s="124"/>
      <c r="AB964" s="124"/>
    </row>
    <row r="965" spans="1:28" ht="14.25" customHeight="1" x14ac:dyDescent="0.25">
      <c r="A965" s="124"/>
      <c r="B965" s="124"/>
      <c r="C965" s="135"/>
      <c r="D965" s="124"/>
      <c r="E965" s="124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  <c r="Q965" s="124"/>
      <c r="R965" s="124"/>
      <c r="S965" s="124"/>
      <c r="T965" s="124"/>
      <c r="U965" s="124"/>
      <c r="V965" s="124"/>
      <c r="W965" s="124"/>
      <c r="X965" s="124"/>
      <c r="Y965" s="124"/>
      <c r="Z965" s="124"/>
      <c r="AA965" s="124"/>
      <c r="AB965" s="124"/>
    </row>
    <row r="966" spans="1:28" ht="14.25" customHeight="1" x14ac:dyDescent="0.25">
      <c r="A966" s="124"/>
      <c r="B966" s="124"/>
      <c r="C966" s="135"/>
      <c r="D966" s="124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  <c r="R966" s="124"/>
      <c r="S966" s="124"/>
      <c r="T966" s="124"/>
      <c r="U966" s="124"/>
      <c r="V966" s="124"/>
      <c r="W966" s="124"/>
      <c r="X966" s="124"/>
      <c r="Y966" s="124"/>
      <c r="Z966" s="124"/>
      <c r="AA966" s="124"/>
      <c r="AB966" s="124"/>
    </row>
    <row r="967" spans="1:28" ht="14.25" customHeight="1" x14ac:dyDescent="0.25">
      <c r="A967" s="124"/>
      <c r="B967" s="124"/>
      <c r="C967" s="135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  <c r="AA967" s="124"/>
      <c r="AB967" s="124"/>
    </row>
    <row r="968" spans="1:28" ht="14.25" customHeight="1" x14ac:dyDescent="0.25">
      <c r="A968" s="124"/>
      <c r="B968" s="124"/>
      <c r="C968" s="135"/>
      <c r="D968" s="124"/>
      <c r="E968" s="124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  <c r="AA968" s="124"/>
      <c r="AB968" s="124"/>
    </row>
    <row r="969" spans="1:28" ht="14.25" customHeight="1" x14ac:dyDescent="0.25">
      <c r="A969" s="124"/>
      <c r="B969" s="124"/>
      <c r="C969" s="135"/>
      <c r="D969" s="124"/>
      <c r="E969" s="124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  <c r="Q969" s="124"/>
      <c r="R969" s="124"/>
      <c r="S969" s="124"/>
      <c r="T969" s="124"/>
      <c r="U969" s="124"/>
      <c r="V969" s="124"/>
      <c r="W969" s="124"/>
      <c r="X969" s="124"/>
      <c r="Y969" s="124"/>
      <c r="Z969" s="124"/>
      <c r="AA969" s="124"/>
      <c r="AB969" s="124"/>
    </row>
    <row r="970" spans="1:28" ht="14.25" customHeight="1" x14ac:dyDescent="0.25">
      <c r="A970" s="124"/>
      <c r="B970" s="124"/>
      <c r="C970" s="135"/>
      <c r="D970" s="124"/>
      <c r="E970" s="124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  <c r="Q970" s="124"/>
      <c r="R970" s="124"/>
      <c r="S970" s="124"/>
      <c r="T970" s="124"/>
      <c r="U970" s="124"/>
      <c r="V970" s="124"/>
      <c r="W970" s="124"/>
      <c r="X970" s="124"/>
      <c r="Y970" s="124"/>
      <c r="Z970" s="124"/>
      <c r="AA970" s="124"/>
      <c r="AB970" s="124"/>
    </row>
    <row r="971" spans="1:28" ht="14.25" customHeight="1" x14ac:dyDescent="0.25">
      <c r="A971" s="124"/>
      <c r="B971" s="124"/>
      <c r="C971" s="135"/>
      <c r="D971" s="124"/>
      <c r="E971" s="124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  <c r="AA971" s="124"/>
      <c r="AB971" s="124"/>
    </row>
    <row r="972" spans="1:28" ht="14.25" customHeight="1" x14ac:dyDescent="0.25">
      <c r="A972" s="124"/>
      <c r="B972" s="124"/>
      <c r="C972" s="135"/>
      <c r="D972" s="124"/>
      <c r="E972" s="124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  <c r="Q972" s="124"/>
      <c r="R972" s="124"/>
      <c r="S972" s="124"/>
      <c r="T972" s="124"/>
      <c r="U972" s="124"/>
      <c r="V972" s="124"/>
      <c r="W972" s="124"/>
      <c r="X972" s="124"/>
      <c r="Y972" s="124"/>
      <c r="Z972" s="124"/>
      <c r="AA972" s="124"/>
      <c r="AB972" s="124"/>
    </row>
    <row r="973" spans="1:28" ht="14.25" customHeight="1" x14ac:dyDescent="0.25">
      <c r="A973" s="124"/>
      <c r="B973" s="124"/>
      <c r="C973" s="135"/>
      <c r="D973" s="124"/>
      <c r="E973" s="124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  <c r="U973" s="124"/>
      <c r="V973" s="124"/>
      <c r="W973" s="124"/>
      <c r="X973" s="124"/>
      <c r="Y973" s="124"/>
      <c r="Z973" s="124"/>
      <c r="AA973" s="124"/>
      <c r="AB973" s="124"/>
    </row>
    <row r="974" spans="1:28" ht="14.25" customHeight="1" x14ac:dyDescent="0.25">
      <c r="A974" s="124"/>
      <c r="B974" s="124"/>
      <c r="C974" s="135"/>
      <c r="D974" s="124"/>
      <c r="E974" s="124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  <c r="U974" s="124"/>
      <c r="V974" s="124"/>
      <c r="W974" s="124"/>
      <c r="X974" s="124"/>
      <c r="Y974" s="124"/>
      <c r="Z974" s="124"/>
      <c r="AA974" s="124"/>
      <c r="AB974" s="124"/>
    </row>
    <row r="975" spans="1:28" ht="14.25" customHeight="1" x14ac:dyDescent="0.25">
      <c r="A975" s="124"/>
      <c r="B975" s="124"/>
      <c r="C975" s="135"/>
      <c r="D975" s="124"/>
      <c r="E975" s="124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  <c r="U975" s="124"/>
      <c r="V975" s="124"/>
      <c r="W975" s="124"/>
      <c r="X975" s="124"/>
      <c r="Y975" s="124"/>
      <c r="Z975" s="124"/>
      <c r="AA975" s="124"/>
      <c r="AB975" s="124"/>
    </row>
    <row r="976" spans="1:28" ht="14.25" customHeight="1" x14ac:dyDescent="0.25">
      <c r="A976" s="124"/>
      <c r="B976" s="124"/>
      <c r="C976" s="135"/>
      <c r="D976" s="124"/>
      <c r="E976" s="124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  <c r="AA976" s="124"/>
      <c r="AB976" s="124"/>
    </row>
    <row r="977" spans="1:28" ht="14.25" customHeight="1" x14ac:dyDescent="0.25">
      <c r="A977" s="124"/>
      <c r="B977" s="124"/>
      <c r="C977" s="135"/>
      <c r="D977" s="124"/>
      <c r="E977" s="124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  <c r="AA977" s="124"/>
      <c r="AB977" s="124"/>
    </row>
    <row r="978" spans="1:28" ht="14.25" customHeight="1" x14ac:dyDescent="0.25">
      <c r="A978" s="124"/>
      <c r="B978" s="124"/>
      <c r="C978" s="135"/>
      <c r="D978" s="124"/>
      <c r="E978" s="124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  <c r="U978" s="124"/>
      <c r="V978" s="124"/>
      <c r="W978" s="124"/>
      <c r="X978" s="124"/>
      <c r="Y978" s="124"/>
      <c r="Z978" s="124"/>
      <c r="AA978" s="124"/>
      <c r="AB978" s="124"/>
    </row>
    <row r="979" spans="1:28" ht="14.25" customHeight="1" x14ac:dyDescent="0.25">
      <c r="A979" s="124"/>
      <c r="B979" s="124"/>
      <c r="C979" s="135"/>
      <c r="D979" s="124"/>
      <c r="E979" s="124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  <c r="Z979" s="124"/>
      <c r="AA979" s="124"/>
      <c r="AB979" s="124"/>
    </row>
    <row r="980" spans="1:28" ht="14.25" customHeight="1" x14ac:dyDescent="0.25">
      <c r="A980" s="124"/>
      <c r="B980" s="124"/>
      <c r="C980" s="135"/>
      <c r="D980" s="124"/>
      <c r="E980" s="124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  <c r="U980" s="124"/>
      <c r="V980" s="124"/>
      <c r="W980" s="124"/>
      <c r="X980" s="124"/>
      <c r="Y980" s="124"/>
      <c r="Z980" s="124"/>
      <c r="AA980" s="124"/>
      <c r="AB980" s="124"/>
    </row>
    <row r="981" spans="1:28" ht="14.25" customHeight="1" x14ac:dyDescent="0.25">
      <c r="A981" s="124"/>
      <c r="B981" s="124"/>
      <c r="C981" s="135"/>
      <c r="D981" s="124"/>
      <c r="E981" s="124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  <c r="U981" s="124"/>
      <c r="V981" s="124"/>
      <c r="W981" s="124"/>
      <c r="X981" s="124"/>
      <c r="Y981" s="124"/>
      <c r="Z981" s="124"/>
      <c r="AA981" s="124"/>
      <c r="AB981" s="124"/>
    </row>
    <row r="982" spans="1:28" ht="14.25" customHeight="1" x14ac:dyDescent="0.25">
      <c r="A982" s="124"/>
      <c r="B982" s="124"/>
      <c r="C982" s="135"/>
      <c r="D982" s="124"/>
      <c r="E982" s="124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  <c r="U982" s="124"/>
      <c r="V982" s="124"/>
      <c r="W982" s="124"/>
      <c r="X982" s="124"/>
      <c r="Y982" s="124"/>
      <c r="Z982" s="124"/>
      <c r="AA982" s="124"/>
      <c r="AB982" s="124"/>
    </row>
    <row r="983" spans="1:28" ht="14.25" customHeight="1" x14ac:dyDescent="0.25">
      <c r="A983" s="124"/>
      <c r="B983" s="124"/>
      <c r="C983" s="135"/>
      <c r="D983" s="124"/>
      <c r="E983" s="124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  <c r="U983" s="124"/>
      <c r="V983" s="124"/>
      <c r="W983" s="124"/>
      <c r="X983" s="124"/>
      <c r="Y983" s="124"/>
      <c r="Z983" s="124"/>
      <c r="AA983" s="124"/>
      <c r="AB983" s="124"/>
    </row>
    <row r="984" spans="1:28" ht="14.25" customHeight="1" x14ac:dyDescent="0.25">
      <c r="A984" s="124"/>
      <c r="B984" s="124"/>
      <c r="C984" s="135"/>
      <c r="D984" s="124"/>
      <c r="E984" s="124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  <c r="U984" s="124"/>
      <c r="V984" s="124"/>
      <c r="W984" s="124"/>
      <c r="X984" s="124"/>
      <c r="Y984" s="124"/>
      <c r="Z984" s="124"/>
      <c r="AA984" s="124"/>
      <c r="AB984" s="124"/>
    </row>
    <row r="985" spans="1:28" ht="14.25" customHeight="1" x14ac:dyDescent="0.25">
      <c r="A985" s="124"/>
      <c r="B985" s="124"/>
      <c r="C985" s="135"/>
      <c r="D985" s="124"/>
      <c r="E985" s="124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  <c r="AA985" s="124"/>
      <c r="AB985" s="124"/>
    </row>
    <row r="986" spans="1:28" ht="14.25" customHeight="1" x14ac:dyDescent="0.25">
      <c r="A986" s="124"/>
      <c r="B986" s="124"/>
      <c r="C986" s="135"/>
      <c r="D986" s="124"/>
      <c r="E986" s="124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  <c r="AA986" s="124"/>
      <c r="AB986" s="124"/>
    </row>
    <row r="987" spans="1:28" ht="14.25" customHeight="1" x14ac:dyDescent="0.25">
      <c r="A987" s="124"/>
      <c r="B987" s="124"/>
      <c r="C987" s="135"/>
      <c r="D987" s="124"/>
      <c r="E987" s="124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  <c r="U987" s="124"/>
      <c r="V987" s="124"/>
      <c r="W987" s="124"/>
      <c r="X987" s="124"/>
      <c r="Y987" s="124"/>
      <c r="Z987" s="124"/>
      <c r="AA987" s="124"/>
      <c r="AB987" s="124"/>
    </row>
    <row r="988" spans="1:28" ht="14.25" customHeight="1" x14ac:dyDescent="0.25">
      <c r="A988" s="124"/>
      <c r="B988" s="124"/>
      <c r="C988" s="135"/>
      <c r="D988" s="124"/>
      <c r="E988" s="124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  <c r="U988" s="124"/>
      <c r="V988" s="124"/>
      <c r="W988" s="124"/>
      <c r="X988" s="124"/>
      <c r="Y988" s="124"/>
      <c r="Z988" s="124"/>
      <c r="AA988" s="124"/>
      <c r="AB988" s="124"/>
    </row>
    <row r="989" spans="1:28" ht="14.25" customHeight="1" x14ac:dyDescent="0.25">
      <c r="A989" s="124"/>
      <c r="B989" s="124"/>
      <c r="C989" s="135"/>
      <c r="D989" s="124"/>
      <c r="E989" s="124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  <c r="U989" s="124"/>
      <c r="V989" s="124"/>
      <c r="W989" s="124"/>
      <c r="X989" s="124"/>
      <c r="Y989" s="124"/>
      <c r="Z989" s="124"/>
      <c r="AA989" s="124"/>
      <c r="AB989" s="124"/>
    </row>
    <row r="990" spans="1:28" ht="14.25" customHeight="1" x14ac:dyDescent="0.25">
      <c r="A990" s="124"/>
      <c r="B990" s="124"/>
      <c r="C990" s="135"/>
      <c r="D990" s="124"/>
      <c r="E990" s="124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  <c r="U990" s="124"/>
      <c r="V990" s="124"/>
      <c r="W990" s="124"/>
      <c r="X990" s="124"/>
      <c r="Y990" s="124"/>
      <c r="Z990" s="124"/>
      <c r="AA990" s="124"/>
      <c r="AB990" s="124"/>
    </row>
    <row r="991" spans="1:28" ht="14.25" customHeight="1" x14ac:dyDescent="0.25">
      <c r="A991" s="124"/>
      <c r="B991" s="124"/>
      <c r="C991" s="135"/>
      <c r="D991" s="124"/>
      <c r="E991" s="124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  <c r="AA991" s="124"/>
      <c r="AB991" s="124"/>
    </row>
    <row r="992" spans="1:28" ht="14.25" customHeight="1" x14ac:dyDescent="0.25">
      <c r="A992" s="124"/>
      <c r="B992" s="124"/>
      <c r="C992" s="135"/>
      <c r="D992" s="124"/>
      <c r="E992" s="124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  <c r="U992" s="124"/>
      <c r="V992" s="124"/>
      <c r="W992" s="124"/>
      <c r="X992" s="124"/>
      <c r="Y992" s="124"/>
      <c r="Z992" s="124"/>
      <c r="AA992" s="124"/>
      <c r="AB992" s="124"/>
    </row>
    <row r="993" spans="1:28" ht="14.25" customHeight="1" x14ac:dyDescent="0.25">
      <c r="A993" s="124"/>
      <c r="B993" s="124"/>
      <c r="C993" s="135"/>
      <c r="D993" s="124"/>
      <c r="E993" s="124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  <c r="U993" s="124"/>
      <c r="V993" s="124"/>
      <c r="W993" s="124"/>
      <c r="X993" s="124"/>
      <c r="Y993" s="124"/>
      <c r="Z993" s="124"/>
      <c r="AA993" s="124"/>
      <c r="AB993" s="124"/>
    </row>
    <row r="994" spans="1:28" ht="14.25" customHeight="1" x14ac:dyDescent="0.25">
      <c r="A994" s="124"/>
      <c r="B994" s="124"/>
      <c r="C994" s="135"/>
      <c r="D994" s="124"/>
      <c r="E994" s="124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  <c r="AA994" s="124"/>
      <c r="AB994" s="124"/>
    </row>
    <row r="995" spans="1:28" ht="14.25" customHeight="1" x14ac:dyDescent="0.25">
      <c r="A995" s="124"/>
      <c r="B995" s="124"/>
      <c r="C995" s="135"/>
      <c r="D995" s="124"/>
      <c r="E995" s="124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  <c r="AA995" s="124"/>
      <c r="AB995" s="124"/>
    </row>
    <row r="996" spans="1:28" ht="14.25" customHeight="1" x14ac:dyDescent="0.25">
      <c r="A996" s="124"/>
      <c r="B996" s="124"/>
      <c r="C996" s="135"/>
      <c r="D996" s="124"/>
      <c r="E996" s="124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  <c r="AA996" s="124"/>
      <c r="AB996" s="124"/>
    </row>
    <row r="997" spans="1:28" ht="14.25" customHeight="1" x14ac:dyDescent="0.25">
      <c r="A997" s="124"/>
      <c r="B997" s="124"/>
      <c r="C997" s="135"/>
      <c r="D997" s="124"/>
      <c r="E997" s="124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  <c r="AA997" s="124"/>
      <c r="AB997" s="124"/>
    </row>
    <row r="998" spans="1:28" ht="14.25" customHeight="1" x14ac:dyDescent="0.25">
      <c r="A998" s="124"/>
      <c r="B998" s="124"/>
      <c r="C998" s="135"/>
      <c r="D998" s="124"/>
      <c r="E998" s="124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  <c r="Z998" s="124"/>
      <c r="AA998" s="124"/>
      <c r="AB998" s="124"/>
    </row>
    <row r="999" spans="1:28" ht="14.25" customHeight="1" x14ac:dyDescent="0.25">
      <c r="A999" s="124"/>
      <c r="B999" s="124"/>
      <c r="C999" s="135"/>
      <c r="D999" s="124"/>
      <c r="E999" s="124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  <c r="Q999" s="124"/>
      <c r="R999" s="124"/>
      <c r="S999" s="124"/>
      <c r="T999" s="124"/>
      <c r="U999" s="124"/>
      <c r="V999" s="124"/>
      <c r="W999" s="124"/>
      <c r="X999" s="124"/>
      <c r="Y999" s="124"/>
      <c r="Z999" s="124"/>
      <c r="AA999" s="124"/>
      <c r="AB999" s="124"/>
    </row>
  </sheetData>
  <mergeCells count="3">
    <mergeCell ref="A1:K1"/>
    <mergeCell ref="C2:D2"/>
    <mergeCell ref="C3:D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rgb="FF366092"/>
  </sheetPr>
  <dimension ref="A1:O1000"/>
  <sheetViews>
    <sheetView zoomScale="70" zoomScaleNormal="70" workbookViewId="0"/>
  </sheetViews>
  <sheetFormatPr defaultColWidth="14.42578125" defaultRowHeight="15" customHeight="1" x14ac:dyDescent="0.25"/>
  <cols>
    <col min="1" max="1" width="10.5703125" customWidth="1"/>
    <col min="2" max="6" width="8.85546875" customWidth="1"/>
    <col min="7" max="7" width="14.85546875" customWidth="1"/>
    <col min="8" max="16" width="8.85546875" customWidth="1"/>
    <col min="17" max="26" width="10" customWidth="1"/>
  </cols>
  <sheetData>
    <row r="1" spans="1:15" ht="61.5" customHeight="1" x14ac:dyDescent="0.25">
      <c r="A1" s="137" t="s">
        <v>419</v>
      </c>
      <c r="B1" s="138" t="s">
        <v>420</v>
      </c>
      <c r="D1" s="137" t="s">
        <v>419</v>
      </c>
      <c r="E1" s="139" t="s">
        <v>421</v>
      </c>
      <c r="G1" s="137" t="s">
        <v>419</v>
      </c>
      <c r="H1" s="139" t="s">
        <v>421</v>
      </c>
    </row>
    <row r="2" spans="1:15" ht="14.25" customHeight="1" x14ac:dyDescent="0.25">
      <c r="A2" s="140" t="s">
        <v>422</v>
      </c>
      <c r="B2" s="141">
        <f>COUNTIF('NEST DATA '!D:D,"&lt;20")</f>
        <v>44</v>
      </c>
      <c r="D2" s="140" t="s">
        <v>422</v>
      </c>
      <c r="E2" s="141">
        <f>COUNTIF('FALSE CRAWL DATA'!C5:C105,"&lt;20")</f>
        <v>18</v>
      </c>
      <c r="G2" s="140" t="s">
        <v>422</v>
      </c>
      <c r="H2" s="141">
        <f>COUNTIF('INVESTIGATION DATA'!C4:C16,"&lt;20")</f>
        <v>1</v>
      </c>
      <c r="O2" s="67"/>
    </row>
    <row r="3" spans="1:15" ht="14.25" customHeight="1" x14ac:dyDescent="0.25">
      <c r="A3" s="142" t="s">
        <v>423</v>
      </c>
      <c r="B3" s="143">
        <f>COUNTIF('NEST DATA '!D:D,"&lt;40")-B2</f>
        <v>45</v>
      </c>
      <c r="D3" s="142" t="s">
        <v>423</v>
      </c>
      <c r="E3" s="143">
        <f>COUNTIF('FALSE CRAWL DATA'!C$5:C$105,"&lt;40")-SUM(E2)</f>
        <v>17</v>
      </c>
      <c r="G3" s="142" t="s">
        <v>423</v>
      </c>
      <c r="H3" s="143">
        <f>COUNTIF('INVESTIGATION DATA'!C4:C165,"&lt;40")-SUM(H2)</f>
        <v>1</v>
      </c>
    </row>
    <row r="4" spans="1:15" ht="14.25" customHeight="1" x14ac:dyDescent="0.25">
      <c r="A4" s="144" t="s">
        <v>424</v>
      </c>
      <c r="B4" s="145">
        <f>COUNTIF('NEST DATA '!D:D,"&lt;60")-SUM(B2:B3)</f>
        <v>34</v>
      </c>
      <c r="D4" s="144" t="s">
        <v>424</v>
      </c>
      <c r="E4" s="143">
        <f>COUNTIF('FALSE CRAWL DATA'!C$5:C$105,"&lt;60")-SUM(E2:E3)</f>
        <v>17</v>
      </c>
      <c r="G4" s="144" t="s">
        <v>424</v>
      </c>
      <c r="H4" s="143">
        <f>COUNTIF('INVESTIGATION DATA'!C4:C16,"&lt;60")-SUM(H2:H3)</f>
        <v>2</v>
      </c>
    </row>
    <row r="5" spans="1:15" ht="14.25" customHeight="1" x14ac:dyDescent="0.25">
      <c r="A5" s="144" t="s">
        <v>425</v>
      </c>
      <c r="B5" s="143">
        <f>COUNTIF('NEST DATA '!D:D,"&lt;80")-SUM(B2:B4)</f>
        <v>11</v>
      </c>
      <c r="D5" s="144" t="s">
        <v>425</v>
      </c>
      <c r="E5" s="143">
        <f>COUNTIF('FALSE CRAWL DATA'!C$5:C$105,"&lt;80")-SUM(E2:E4)</f>
        <v>16</v>
      </c>
      <c r="G5" s="144" t="s">
        <v>425</v>
      </c>
      <c r="H5" s="143">
        <f>COUNTIF('INVESTIGATION DATA'!C4:C16,"&lt;80")-SUM(H2:H4)</f>
        <v>2</v>
      </c>
    </row>
    <row r="6" spans="1:15" ht="14.25" customHeight="1" x14ac:dyDescent="0.25">
      <c r="A6" s="144" t="s">
        <v>426</v>
      </c>
      <c r="B6" s="145">
        <f>COUNTIF('NEST DATA '!D:D,"&lt;100")-SUM(B2:B5)</f>
        <v>6</v>
      </c>
      <c r="D6" s="144" t="s">
        <v>426</v>
      </c>
      <c r="E6" s="143">
        <f>COUNTIF('FALSE CRAWL DATA'!C$5:C$105,"&lt;100")-SUM(E2:E5)</f>
        <v>7</v>
      </c>
      <c r="G6" s="144" t="s">
        <v>426</v>
      </c>
      <c r="H6" s="143">
        <f>COUNTIF('INVESTIGATION DATA'!C4:C16,"&lt;100")-SUM(H2:H5)</f>
        <v>1</v>
      </c>
    </row>
    <row r="7" spans="1:15" ht="14.25" customHeight="1" x14ac:dyDescent="0.25">
      <c r="A7" s="144" t="s">
        <v>427</v>
      </c>
      <c r="B7" s="143">
        <f>COUNTIF('NEST DATA '!D:D,"&lt;120")-SUM(B2:B6)</f>
        <v>24</v>
      </c>
      <c r="D7" s="144" t="s">
        <v>427</v>
      </c>
      <c r="E7" s="143">
        <f>COUNTIF('FALSE CRAWL DATA'!C$5:C$105,"&lt;120")-SUM(E2:E6)</f>
        <v>7</v>
      </c>
      <c r="G7" s="144" t="s">
        <v>427</v>
      </c>
      <c r="H7" s="143">
        <f>COUNTIF('INVESTIGATION DATA'!C4:C16,"&lt;120")-SUM(H2:H6)</f>
        <v>4</v>
      </c>
    </row>
    <row r="8" spans="1:15" ht="14.25" customHeight="1" x14ac:dyDescent="0.25">
      <c r="A8" s="144" t="s">
        <v>428</v>
      </c>
      <c r="B8" s="145">
        <f>COUNTIF('NEST DATA '!D:D,"&lt;140")-SUM(B2:B7)</f>
        <v>22</v>
      </c>
      <c r="D8" s="144" t="s">
        <v>428</v>
      </c>
      <c r="E8" s="143">
        <f>COUNTIF('FALSE CRAWL DATA'!C$5:C$105,"&lt;140")-SUM(E2:E7)</f>
        <v>9</v>
      </c>
      <c r="G8" s="144" t="s">
        <v>428</v>
      </c>
      <c r="H8" s="146">
        <v>0</v>
      </c>
    </row>
    <row r="9" spans="1:15" ht="14.25" customHeight="1" x14ac:dyDescent="0.25">
      <c r="A9" s="144" t="s">
        <v>429</v>
      </c>
      <c r="B9" s="143">
        <f>COUNTIF('NEST DATA '!D:D,"&lt;160")-SUM(B2:B8)</f>
        <v>45</v>
      </c>
      <c r="D9" s="144" t="s">
        <v>429</v>
      </c>
      <c r="E9" s="143">
        <f>COUNTIF('FALSE CRAWL DATA'!C$5:C$105,"&lt;180")-SUM(E2:E8)</f>
        <v>10</v>
      </c>
      <c r="G9" s="144" t="s">
        <v>429</v>
      </c>
      <c r="H9" s="143">
        <f>COUNTIF('INVESTIGATION DATA'!C4:C16,"&lt;180")-SUM(H2:H8)</f>
        <v>1</v>
      </c>
    </row>
    <row r="10" spans="1:15" ht="15" customHeight="1" x14ac:dyDescent="0.25">
      <c r="A10" s="147" t="s">
        <v>430</v>
      </c>
      <c r="B10" s="145">
        <f>COUNTIF('NEST DATA '!D:D,"&lt;200")-SUM(B2:B9)</f>
        <v>0</v>
      </c>
      <c r="D10" s="147" t="s">
        <v>430</v>
      </c>
      <c r="E10" s="143">
        <f>COUNTIF('FALSE CRAWL DATA'!C$5:C$105,"&lt;200")-SUM(E2:E9)</f>
        <v>0</v>
      </c>
      <c r="G10" s="147" t="s">
        <v>430</v>
      </c>
      <c r="H10" s="143">
        <f>COUNTIF('INVESTIGATION DATA'!C4:C16,"&lt;200")-SUM(H2:H9)</f>
        <v>0</v>
      </c>
    </row>
    <row r="11" spans="1:15" ht="14.25" customHeight="1" x14ac:dyDescent="0.25">
      <c r="A11" s="99"/>
      <c r="B11" s="99"/>
      <c r="D11" s="99"/>
      <c r="E11" s="99"/>
      <c r="G11" s="99"/>
      <c r="H11" s="99"/>
    </row>
    <row r="12" spans="1:15" ht="14.25" customHeight="1" x14ac:dyDescent="0.25">
      <c r="A12" s="148" t="s">
        <v>431</v>
      </c>
      <c r="B12" s="44">
        <f>SUM(B2:B10)</f>
        <v>231</v>
      </c>
      <c r="D12" s="149" t="s">
        <v>432</v>
      </c>
      <c r="E12" s="44">
        <f>SUM(E2:E10)</f>
        <v>101</v>
      </c>
      <c r="G12" s="149" t="s">
        <v>433</v>
      </c>
      <c r="H12" s="44">
        <f>SUM(H2:H10)</f>
        <v>12</v>
      </c>
    </row>
    <row r="13" spans="1:15" ht="14.25" customHeight="1" x14ac:dyDescent="0.25">
      <c r="G13" s="150" t="str">
        <f>"+ 1 non located"</f>
        <v>+ 1 non located</v>
      </c>
      <c r="H13" s="151">
        <v>13</v>
      </c>
    </row>
    <row r="14" spans="1:15" ht="14.25" customHeight="1" x14ac:dyDescent="0.25"/>
    <row r="15" spans="1:15" ht="14.25" customHeight="1" x14ac:dyDescent="0.25"/>
    <row r="16" spans="1:15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rgb="FF92D050"/>
  </sheetPr>
  <dimension ref="A1:C959"/>
  <sheetViews>
    <sheetView workbookViewId="0"/>
  </sheetViews>
  <sheetFormatPr defaultColWidth="14.42578125" defaultRowHeight="15" customHeight="1" x14ac:dyDescent="0.25"/>
  <cols>
    <col min="1" max="6" width="8.85546875" customWidth="1"/>
    <col min="7" max="33" width="10" customWidth="1"/>
  </cols>
  <sheetData>
    <row r="1" spans="1:3" ht="42" customHeight="1" x14ac:dyDescent="0.25">
      <c r="A1" s="152" t="s">
        <v>38</v>
      </c>
      <c r="B1" s="153" t="s">
        <v>434</v>
      </c>
      <c r="C1" s="153" t="s">
        <v>435</v>
      </c>
    </row>
    <row r="2" spans="1:3" ht="15" customHeight="1" x14ac:dyDescent="0.4">
      <c r="A2" s="154" t="str">
        <f ca="1">IFERROR(__xludf.DUMMYFUNCTION("FILTER('NEST DATA '!A:A,'NEST DATA '!AM:AM=1)"),"1P")</f>
        <v>1P</v>
      </c>
      <c r="B2" s="154">
        <f ca="1">IFERROR(__xludf.DUMMYFUNCTION("FILTER('NEST DATA '!V:V,'NEST DATA '!AM:AM=1)"),70)</f>
        <v>70</v>
      </c>
      <c r="C2" s="154">
        <f ca="1">IFERROR(__xludf.DUMMYFUNCTION("FILTER('NEST DATA '!AH:AH,'NEST DATA '!AM:AM=1)"),43)</f>
        <v>43</v>
      </c>
    </row>
    <row r="3" spans="1:3" ht="15" customHeight="1" x14ac:dyDescent="0.25">
      <c r="A3" s="108" t="str">
        <f ca="1">IFERROR(__xludf.DUMMYFUNCTION("""COMPUTED_VALUE"""),"2P")</f>
        <v>2P</v>
      </c>
      <c r="B3" s="108">
        <f ca="1">IFERROR(__xludf.DUMMYFUNCTION("""COMPUTED_VALUE"""),93)</f>
        <v>93</v>
      </c>
      <c r="C3" s="108">
        <f ca="1">IFERROR(__xludf.DUMMYFUNCTION("""COMPUTED_VALUE"""),6)</f>
        <v>6</v>
      </c>
    </row>
    <row r="4" spans="1:3" ht="15" customHeight="1" x14ac:dyDescent="0.25">
      <c r="A4" s="108" t="str">
        <f ca="1">IFERROR(__xludf.DUMMYFUNCTION("""COMPUTED_VALUE"""),"3P")</f>
        <v>3P</v>
      </c>
      <c r="B4" s="108" t="str">
        <f ca="1">IFERROR(__xludf.DUMMYFUNCTION("""COMPUTED_VALUE"""),"N.A.")</f>
        <v>N.A.</v>
      </c>
      <c r="C4" s="108" t="str">
        <f ca="1">IFERROR(__xludf.DUMMYFUNCTION("""COMPUTED_VALUE"""),"N.A.")</f>
        <v>N.A.</v>
      </c>
    </row>
    <row r="5" spans="1:3" ht="15" customHeight="1" x14ac:dyDescent="0.25">
      <c r="A5" s="108" t="str">
        <f ca="1">IFERROR(__xludf.DUMMYFUNCTION("""COMPUTED_VALUE"""),"4K")</f>
        <v>4K</v>
      </c>
      <c r="B5" s="108">
        <f ca="1">IFERROR(__xludf.DUMMYFUNCTION("""COMPUTED_VALUE"""),0)</f>
        <v>0</v>
      </c>
      <c r="C5" s="108">
        <f ca="1">IFERROR(__xludf.DUMMYFUNCTION("""COMPUTED_VALUE"""),117)</f>
        <v>117</v>
      </c>
    </row>
    <row r="6" spans="1:3" ht="15" customHeight="1" x14ac:dyDescent="0.25">
      <c r="A6" s="108" t="str">
        <f ca="1">IFERROR(__xludf.DUMMYFUNCTION("""COMPUTED_VALUE"""),"5K")</f>
        <v>5K</v>
      </c>
      <c r="B6" s="108">
        <f ca="1">IFERROR(__xludf.DUMMYFUNCTION("""COMPUTED_VALUE"""),78)</f>
        <v>78</v>
      </c>
      <c r="C6" s="108">
        <f ca="1">IFERROR(__xludf.DUMMYFUNCTION("""COMPUTED_VALUE"""),17)</f>
        <v>17</v>
      </c>
    </row>
    <row r="7" spans="1:3" ht="15" customHeight="1" x14ac:dyDescent="0.25">
      <c r="A7" s="108" t="str">
        <f ca="1">IFERROR(__xludf.DUMMYFUNCTION("""COMPUTED_VALUE"""),"6P")</f>
        <v>6P</v>
      </c>
      <c r="B7" s="108">
        <f ca="1">IFERROR(__xludf.DUMMYFUNCTION("""COMPUTED_VALUE"""),26)</f>
        <v>26</v>
      </c>
      <c r="C7" s="108">
        <f ca="1">IFERROR(__xludf.DUMMYFUNCTION("""COMPUTED_VALUE"""),14)</f>
        <v>14</v>
      </c>
    </row>
    <row r="8" spans="1:3" ht="15" customHeight="1" x14ac:dyDescent="0.25">
      <c r="A8" s="108" t="str">
        <f ca="1">IFERROR(__xludf.DUMMYFUNCTION("""COMPUTED_VALUE"""),"7P")</f>
        <v>7P</v>
      </c>
      <c r="B8" s="108">
        <f ca="1">IFERROR(__xludf.DUMMYFUNCTION("""COMPUTED_VALUE"""),122)</f>
        <v>122</v>
      </c>
      <c r="C8" s="108">
        <f ca="1">IFERROR(__xludf.DUMMYFUNCTION("""COMPUTED_VALUE"""),17)</f>
        <v>17</v>
      </c>
    </row>
    <row r="9" spans="1:3" ht="15" customHeight="1" x14ac:dyDescent="0.25">
      <c r="A9" s="108" t="str">
        <f ca="1">IFERROR(__xludf.DUMMYFUNCTION("""COMPUTED_VALUE"""),"8P")</f>
        <v>8P</v>
      </c>
      <c r="B9" s="108">
        <f ca="1">IFERROR(__xludf.DUMMYFUNCTION("""COMPUTED_VALUE"""),49)</f>
        <v>49</v>
      </c>
      <c r="C9" s="108">
        <f ca="1">IFERROR(__xludf.DUMMYFUNCTION("""COMPUTED_VALUE"""),9)</f>
        <v>9</v>
      </c>
    </row>
    <row r="10" spans="1:3" ht="15" customHeight="1" x14ac:dyDescent="0.25">
      <c r="A10" s="108" t="str">
        <f ca="1">IFERROR(__xludf.DUMMYFUNCTION("""COMPUTED_VALUE"""),"9K")</f>
        <v>9K</v>
      </c>
      <c r="B10" s="108">
        <f ca="1">IFERROR(__xludf.DUMMYFUNCTION("""COMPUTED_VALUE"""),52)</f>
        <v>52</v>
      </c>
      <c r="C10" s="108">
        <f ca="1">IFERROR(__xludf.DUMMYFUNCTION("""COMPUTED_VALUE"""),13)</f>
        <v>13</v>
      </c>
    </row>
    <row r="11" spans="1:3" ht="15" customHeight="1" x14ac:dyDescent="0.25">
      <c r="A11" s="108" t="str">
        <f ca="1">IFERROR(__xludf.DUMMYFUNCTION("""COMPUTED_VALUE"""),"10P")</f>
        <v>10P</v>
      </c>
      <c r="B11" s="108">
        <f ca="1">IFERROR(__xludf.DUMMYFUNCTION("""COMPUTED_VALUE"""),101)</f>
        <v>101</v>
      </c>
      <c r="C11" s="108">
        <f ca="1">IFERROR(__xludf.DUMMYFUNCTION("""COMPUTED_VALUE"""),35)</f>
        <v>35</v>
      </c>
    </row>
    <row r="12" spans="1:3" ht="15" customHeight="1" x14ac:dyDescent="0.25">
      <c r="A12" s="108" t="str">
        <f ca="1">IFERROR(__xludf.DUMMYFUNCTION("""COMPUTED_VALUE"""),"11K")</f>
        <v>11K</v>
      </c>
      <c r="B12" s="108" t="str">
        <f ca="1">IFERROR(__xludf.DUMMYFUNCTION("""COMPUTED_VALUE"""),"N.A.")</f>
        <v>N.A.</v>
      </c>
      <c r="C12" s="108" t="str">
        <f ca="1">IFERROR(__xludf.DUMMYFUNCTION("""COMPUTED_VALUE"""),"N.A.")</f>
        <v>N.A.</v>
      </c>
    </row>
    <row r="13" spans="1:3" ht="15" customHeight="1" x14ac:dyDescent="0.25">
      <c r="A13" s="108" t="str">
        <f ca="1">IFERROR(__xludf.DUMMYFUNCTION("""COMPUTED_VALUE"""),"12K")</f>
        <v>12K</v>
      </c>
      <c r="B13" s="108">
        <f ca="1">IFERROR(__xludf.DUMMYFUNCTION("""COMPUTED_VALUE"""),110)</f>
        <v>110</v>
      </c>
      <c r="C13" s="108">
        <f ca="1">IFERROR(__xludf.DUMMYFUNCTION("""COMPUTED_VALUE"""),1)</f>
        <v>1</v>
      </c>
    </row>
    <row r="14" spans="1:3" ht="15" customHeight="1" x14ac:dyDescent="0.25">
      <c r="A14" s="108" t="str">
        <f ca="1">IFERROR(__xludf.DUMMYFUNCTION("""COMPUTED_VALUE"""),"13P")</f>
        <v>13P</v>
      </c>
      <c r="B14" s="108">
        <f ca="1">IFERROR(__xludf.DUMMYFUNCTION("""COMPUTED_VALUE"""),71)</f>
        <v>71</v>
      </c>
      <c r="C14" s="108">
        <f ca="1">IFERROR(__xludf.DUMMYFUNCTION("""COMPUTED_VALUE"""),42)</f>
        <v>42</v>
      </c>
    </row>
    <row r="15" spans="1:3" ht="15" customHeight="1" x14ac:dyDescent="0.25">
      <c r="A15" s="108" t="str">
        <f ca="1">IFERROR(__xludf.DUMMYFUNCTION("""COMPUTED_VALUE"""),"14K")</f>
        <v>14K</v>
      </c>
      <c r="B15" s="108">
        <f ca="1">IFERROR(__xludf.DUMMYFUNCTION("""COMPUTED_VALUE"""),117)</f>
        <v>117</v>
      </c>
      <c r="C15" s="108">
        <f ca="1">IFERROR(__xludf.DUMMYFUNCTION("""COMPUTED_VALUE"""),1)</f>
        <v>1</v>
      </c>
    </row>
    <row r="16" spans="1:3" ht="15" customHeight="1" x14ac:dyDescent="0.25">
      <c r="A16" s="108" t="str">
        <f ca="1">IFERROR(__xludf.DUMMYFUNCTION("""COMPUTED_VALUE"""),"15P")</f>
        <v>15P</v>
      </c>
      <c r="B16" s="108">
        <f ca="1">IFERROR(__xludf.DUMMYFUNCTION("""COMPUTED_VALUE"""),45)</f>
        <v>45</v>
      </c>
      <c r="C16" s="108">
        <f ca="1">IFERROR(__xludf.DUMMYFUNCTION("""COMPUTED_VALUE"""),20)</f>
        <v>20</v>
      </c>
    </row>
    <row r="17" spans="1:3" ht="15" customHeight="1" x14ac:dyDescent="0.25">
      <c r="A17" s="108" t="str">
        <f ca="1">IFERROR(__xludf.DUMMYFUNCTION("""COMPUTED_VALUE"""),"16K")</f>
        <v>16K</v>
      </c>
      <c r="B17" s="108">
        <f ca="1">IFERROR(__xludf.DUMMYFUNCTION("""COMPUTED_VALUE"""),98)</f>
        <v>98</v>
      </c>
      <c r="C17" s="108">
        <f ca="1">IFERROR(__xludf.DUMMYFUNCTION("""COMPUTED_VALUE"""),24)</f>
        <v>24</v>
      </c>
    </row>
    <row r="18" spans="1:3" ht="15" customHeight="1" x14ac:dyDescent="0.25">
      <c r="A18" s="108" t="str">
        <f ca="1">IFERROR(__xludf.DUMMYFUNCTION("""COMPUTED_VALUE"""),"17K")</f>
        <v>17K</v>
      </c>
      <c r="B18" s="108">
        <f ca="1">IFERROR(__xludf.DUMMYFUNCTION("""COMPUTED_VALUE"""),48)</f>
        <v>48</v>
      </c>
      <c r="C18" s="108">
        <f ca="1">IFERROR(__xludf.DUMMYFUNCTION("""COMPUTED_VALUE"""),56)</f>
        <v>56</v>
      </c>
    </row>
    <row r="19" spans="1:3" ht="15" customHeight="1" x14ac:dyDescent="0.25">
      <c r="A19" s="108" t="str">
        <f ca="1">IFERROR(__xludf.DUMMYFUNCTION("""COMPUTED_VALUE"""),"18P")</f>
        <v>18P</v>
      </c>
      <c r="B19" s="108">
        <f ca="1">IFERROR(__xludf.DUMMYFUNCTION("""COMPUTED_VALUE"""),149)</f>
        <v>149</v>
      </c>
      <c r="C19" s="108">
        <f ca="1">IFERROR(__xludf.DUMMYFUNCTION("""COMPUTED_VALUE"""),0)</f>
        <v>0</v>
      </c>
    </row>
    <row r="20" spans="1:3" ht="15" customHeight="1" x14ac:dyDescent="0.25">
      <c r="A20" s="108" t="str">
        <f ca="1">IFERROR(__xludf.DUMMYFUNCTION("""COMPUTED_VALUE"""),"19P")</f>
        <v>19P</v>
      </c>
      <c r="B20" s="108">
        <f ca="1">IFERROR(__xludf.DUMMYFUNCTION("""COMPUTED_VALUE"""),145)</f>
        <v>145</v>
      </c>
      <c r="C20" s="108">
        <f ca="1">IFERROR(__xludf.DUMMYFUNCTION("""COMPUTED_VALUE"""),0)</f>
        <v>0</v>
      </c>
    </row>
    <row r="21" spans="1:3" ht="15" customHeight="1" x14ac:dyDescent="0.25">
      <c r="A21" s="108" t="str">
        <f ca="1">IFERROR(__xludf.DUMMYFUNCTION("""COMPUTED_VALUE"""),"20P")</f>
        <v>20P</v>
      </c>
      <c r="B21" s="108">
        <f ca="1">IFERROR(__xludf.DUMMYFUNCTION("""COMPUTED_VALUE"""),105)</f>
        <v>105</v>
      </c>
      <c r="C21" s="108">
        <f ca="1">IFERROR(__xludf.DUMMYFUNCTION("""COMPUTED_VALUE"""),9)</f>
        <v>9</v>
      </c>
    </row>
    <row r="22" spans="1:3" ht="15" customHeight="1" x14ac:dyDescent="0.25">
      <c r="A22" s="108" t="str">
        <f ca="1">IFERROR(__xludf.DUMMYFUNCTION("""COMPUTED_VALUE"""),"21K")</f>
        <v>21K</v>
      </c>
      <c r="B22" s="108">
        <f ca="1">IFERROR(__xludf.DUMMYFUNCTION("""COMPUTED_VALUE"""),99)</f>
        <v>99</v>
      </c>
      <c r="C22" s="108">
        <f ca="1">IFERROR(__xludf.DUMMYFUNCTION("""COMPUTED_VALUE"""),38)</f>
        <v>38</v>
      </c>
    </row>
    <row r="23" spans="1:3" ht="15" customHeight="1" x14ac:dyDescent="0.25">
      <c r="A23" s="108" t="str">
        <f ca="1">IFERROR(__xludf.DUMMYFUNCTION("""COMPUTED_VALUE"""),"22K")</f>
        <v>22K</v>
      </c>
      <c r="B23" s="108">
        <f ca="1">IFERROR(__xludf.DUMMYFUNCTION("""COMPUTED_VALUE"""),57)</f>
        <v>57</v>
      </c>
      <c r="C23" s="108">
        <f ca="1">IFERROR(__xludf.DUMMYFUNCTION("""COMPUTED_VALUE"""),54)</f>
        <v>54</v>
      </c>
    </row>
    <row r="24" spans="1:3" ht="15" customHeight="1" x14ac:dyDescent="0.25">
      <c r="A24" s="108" t="str">
        <f ca="1">IFERROR(__xludf.DUMMYFUNCTION("""COMPUTED_VALUE"""),"23K")</f>
        <v>23K</v>
      </c>
      <c r="B24" s="108" t="str">
        <f ca="1">IFERROR(__xludf.DUMMYFUNCTION("""COMPUTED_VALUE"""),"N.A.")</f>
        <v>N.A.</v>
      </c>
      <c r="C24" s="108" t="str">
        <f ca="1">IFERROR(__xludf.DUMMYFUNCTION("""COMPUTED_VALUE"""),"N.A.")</f>
        <v>N.A.</v>
      </c>
    </row>
    <row r="25" spans="1:3" ht="15" customHeight="1" x14ac:dyDescent="0.25">
      <c r="A25" s="108" t="str">
        <f ca="1">IFERROR(__xludf.DUMMYFUNCTION("""COMPUTED_VALUE"""),"24K")</f>
        <v>24K</v>
      </c>
      <c r="B25" s="108">
        <f ca="1">IFERROR(__xludf.DUMMYFUNCTION("""COMPUTED_VALUE"""),121)</f>
        <v>121</v>
      </c>
      <c r="C25" s="108">
        <f ca="1">IFERROR(__xludf.DUMMYFUNCTION("""COMPUTED_VALUE"""),8)</f>
        <v>8</v>
      </c>
    </row>
    <row r="26" spans="1:3" ht="15" customHeight="1" x14ac:dyDescent="0.25">
      <c r="A26" s="108" t="str">
        <f ca="1">IFERROR(__xludf.DUMMYFUNCTION("""COMPUTED_VALUE"""),"25P")</f>
        <v>25P</v>
      </c>
      <c r="B26" s="108">
        <f ca="1">IFERROR(__xludf.DUMMYFUNCTION("""COMPUTED_VALUE"""),90)</f>
        <v>90</v>
      </c>
      <c r="C26" s="108">
        <f ca="1">IFERROR(__xludf.DUMMYFUNCTION("""COMPUTED_VALUE"""),70)</f>
        <v>70</v>
      </c>
    </row>
    <row r="27" spans="1:3" ht="15" customHeight="1" x14ac:dyDescent="0.25">
      <c r="A27" s="108" t="str">
        <f ca="1">IFERROR(__xludf.DUMMYFUNCTION("""COMPUTED_VALUE"""),"26P")</f>
        <v>26P</v>
      </c>
      <c r="B27" s="108">
        <f ca="1">IFERROR(__xludf.DUMMYFUNCTION("""COMPUTED_VALUE"""),119)</f>
        <v>119</v>
      </c>
      <c r="C27" s="108">
        <f ca="1">IFERROR(__xludf.DUMMYFUNCTION("""COMPUTED_VALUE"""),7)</f>
        <v>7</v>
      </c>
    </row>
    <row r="28" spans="1:3" ht="15" customHeight="1" x14ac:dyDescent="0.25">
      <c r="A28" s="108" t="str">
        <f ca="1">IFERROR(__xludf.DUMMYFUNCTION("""COMPUTED_VALUE"""),"27P")</f>
        <v>27P</v>
      </c>
      <c r="B28" s="108">
        <f ca="1">IFERROR(__xludf.DUMMYFUNCTION("""COMPUTED_VALUE"""),89)</f>
        <v>89</v>
      </c>
      <c r="C28" s="108">
        <f ca="1">IFERROR(__xludf.DUMMYFUNCTION("""COMPUTED_VALUE"""),18)</f>
        <v>18</v>
      </c>
    </row>
    <row r="29" spans="1:3" ht="15" customHeight="1" x14ac:dyDescent="0.25">
      <c r="A29" s="108" t="str">
        <f ca="1">IFERROR(__xludf.DUMMYFUNCTION("""COMPUTED_VALUE"""),"28K")</f>
        <v>28K</v>
      </c>
      <c r="B29" s="108">
        <f ca="1">IFERROR(__xludf.DUMMYFUNCTION("""COMPUTED_VALUE"""),79)</f>
        <v>79</v>
      </c>
      <c r="C29" s="108">
        <f ca="1">IFERROR(__xludf.DUMMYFUNCTION("""COMPUTED_VALUE"""),2)</f>
        <v>2</v>
      </c>
    </row>
    <row r="30" spans="1:3" ht="15" customHeight="1" x14ac:dyDescent="0.25">
      <c r="A30" s="108" t="str">
        <f ca="1">IFERROR(__xludf.DUMMYFUNCTION("""COMPUTED_VALUE"""),"29K")</f>
        <v>29K</v>
      </c>
      <c r="B30" s="108">
        <f ca="1">IFERROR(__xludf.DUMMYFUNCTION("""COMPUTED_VALUE"""),32)</f>
        <v>32</v>
      </c>
      <c r="C30" s="108">
        <f ca="1">IFERROR(__xludf.DUMMYFUNCTION("""COMPUTED_VALUE"""),33)</f>
        <v>33</v>
      </c>
    </row>
    <row r="31" spans="1:3" ht="15" customHeight="1" x14ac:dyDescent="0.25">
      <c r="A31" s="108" t="str">
        <f ca="1">IFERROR(__xludf.DUMMYFUNCTION("""COMPUTED_VALUE"""),"30K")</f>
        <v>30K</v>
      </c>
      <c r="B31" s="108" t="str">
        <f ca="1">IFERROR(__xludf.DUMMYFUNCTION("""COMPUTED_VALUE"""),"N.A.")</f>
        <v>N.A.</v>
      </c>
      <c r="C31" s="108" t="str">
        <f ca="1">IFERROR(__xludf.DUMMYFUNCTION("""COMPUTED_VALUE"""),"N.A.")</f>
        <v>N.A.</v>
      </c>
    </row>
    <row r="32" spans="1:3" ht="15" customHeight="1" x14ac:dyDescent="0.25">
      <c r="A32" s="108" t="str">
        <f ca="1">IFERROR(__xludf.DUMMYFUNCTION("""COMPUTED_VALUE"""),"31K")</f>
        <v>31K</v>
      </c>
      <c r="B32" s="108">
        <f ca="1">IFERROR(__xludf.DUMMYFUNCTION("""COMPUTED_VALUE"""),102)</f>
        <v>102</v>
      </c>
      <c r="C32" s="108">
        <f ca="1">IFERROR(__xludf.DUMMYFUNCTION("""COMPUTED_VALUE"""),10)</f>
        <v>10</v>
      </c>
    </row>
    <row r="33" spans="1:3" ht="15" customHeight="1" x14ac:dyDescent="0.25">
      <c r="A33" s="108" t="str">
        <f ca="1">IFERROR(__xludf.DUMMYFUNCTION("""COMPUTED_VALUE"""),"32K")</f>
        <v>32K</v>
      </c>
      <c r="B33" s="108">
        <f ca="1">IFERROR(__xludf.DUMMYFUNCTION("""COMPUTED_VALUE"""),92)</f>
        <v>92</v>
      </c>
      <c r="C33" s="108">
        <f ca="1">IFERROR(__xludf.DUMMYFUNCTION("""COMPUTED_VALUE"""),25)</f>
        <v>25</v>
      </c>
    </row>
    <row r="34" spans="1:3" ht="15" customHeight="1" x14ac:dyDescent="0.25">
      <c r="A34" s="108" t="str">
        <f ca="1">IFERROR(__xludf.DUMMYFUNCTION("""COMPUTED_VALUE"""),"33P")</f>
        <v>33P</v>
      </c>
      <c r="B34" s="108">
        <f ca="1">IFERROR(__xludf.DUMMYFUNCTION("""COMPUTED_VALUE"""),81)</f>
        <v>81</v>
      </c>
      <c r="C34" s="108">
        <f ca="1">IFERROR(__xludf.DUMMYFUNCTION("""COMPUTED_VALUE"""),23)</f>
        <v>23</v>
      </c>
    </row>
    <row r="35" spans="1:3" ht="15" customHeight="1" x14ac:dyDescent="0.25">
      <c r="A35" s="108" t="str">
        <f ca="1">IFERROR(__xludf.DUMMYFUNCTION("""COMPUTED_VALUE"""),"34K")</f>
        <v>34K</v>
      </c>
      <c r="B35" s="108">
        <f ca="1">IFERROR(__xludf.DUMMYFUNCTION("""COMPUTED_VALUE"""),59)</f>
        <v>59</v>
      </c>
      <c r="C35" s="108">
        <f ca="1">IFERROR(__xludf.DUMMYFUNCTION("""COMPUTED_VALUE"""),4)</f>
        <v>4</v>
      </c>
    </row>
    <row r="36" spans="1:3" ht="15" customHeight="1" x14ac:dyDescent="0.25">
      <c r="A36" s="108" t="str">
        <f ca="1">IFERROR(__xludf.DUMMYFUNCTION("""COMPUTED_VALUE"""),"35K")</f>
        <v>35K</v>
      </c>
      <c r="B36" s="108" t="str">
        <f ca="1">IFERROR(__xludf.DUMMYFUNCTION("""COMPUTED_VALUE"""),"N.A.")</f>
        <v>N.A.</v>
      </c>
      <c r="C36" s="108" t="str">
        <f ca="1">IFERROR(__xludf.DUMMYFUNCTION("""COMPUTED_VALUE"""),"N.A.")</f>
        <v>N.A.</v>
      </c>
    </row>
    <row r="37" spans="1:3" ht="15" customHeight="1" x14ac:dyDescent="0.25">
      <c r="A37" s="108" t="str">
        <f ca="1">IFERROR(__xludf.DUMMYFUNCTION("""COMPUTED_VALUE"""),"36K")</f>
        <v>36K</v>
      </c>
      <c r="B37" s="108" t="str">
        <f ca="1">IFERROR(__xludf.DUMMYFUNCTION("""COMPUTED_VALUE"""),"N.A.")</f>
        <v>N.A.</v>
      </c>
      <c r="C37" s="108" t="str">
        <f ca="1">IFERROR(__xludf.DUMMYFUNCTION("""COMPUTED_VALUE"""),"N.A.")</f>
        <v>N.A.</v>
      </c>
    </row>
    <row r="38" spans="1:3" ht="15" customHeight="1" x14ac:dyDescent="0.25">
      <c r="A38" s="108" t="str">
        <f ca="1">IFERROR(__xludf.DUMMYFUNCTION("""COMPUTED_VALUE"""),"37K")</f>
        <v>37K</v>
      </c>
      <c r="B38" s="108">
        <f ca="1">IFERROR(__xludf.DUMMYFUNCTION("""COMPUTED_VALUE"""),103)</f>
        <v>103</v>
      </c>
      <c r="C38" s="108">
        <f ca="1">IFERROR(__xludf.DUMMYFUNCTION("""COMPUTED_VALUE"""),3)</f>
        <v>3</v>
      </c>
    </row>
    <row r="39" spans="1:3" ht="15" customHeight="1" x14ac:dyDescent="0.25">
      <c r="A39" s="108" t="str">
        <f ca="1">IFERROR(__xludf.DUMMYFUNCTION("""COMPUTED_VALUE"""),"38P")</f>
        <v>38P</v>
      </c>
      <c r="B39" s="108" t="str">
        <f ca="1">IFERROR(__xludf.DUMMYFUNCTION("""COMPUTED_VALUE"""),"N.A.")</f>
        <v>N.A.</v>
      </c>
      <c r="C39" s="108" t="str">
        <f ca="1">IFERROR(__xludf.DUMMYFUNCTION("""COMPUTED_VALUE"""),"N.A.")</f>
        <v>N.A.</v>
      </c>
    </row>
    <row r="40" spans="1:3" ht="15" customHeight="1" x14ac:dyDescent="0.25">
      <c r="A40" s="108" t="str">
        <f ca="1">IFERROR(__xludf.DUMMYFUNCTION("""COMPUTED_VALUE"""),"39K")</f>
        <v>39K</v>
      </c>
      <c r="B40" s="108" t="str">
        <f ca="1">IFERROR(__xludf.DUMMYFUNCTION("""COMPUTED_VALUE"""),"N.A.")</f>
        <v>N.A.</v>
      </c>
      <c r="C40" s="108" t="str">
        <f ca="1">IFERROR(__xludf.DUMMYFUNCTION("""COMPUTED_VALUE"""),"N.A.")</f>
        <v>N.A.</v>
      </c>
    </row>
    <row r="41" spans="1:3" ht="15" customHeight="1" x14ac:dyDescent="0.25">
      <c r="A41" s="108" t="str">
        <f ca="1">IFERROR(__xludf.DUMMYFUNCTION("""COMPUTED_VALUE"""),"40P")</f>
        <v>40P</v>
      </c>
      <c r="B41" s="108">
        <f ca="1">IFERROR(__xludf.DUMMYFUNCTION("""COMPUTED_VALUE"""),72)</f>
        <v>72</v>
      </c>
      <c r="C41" s="108">
        <f ca="1">IFERROR(__xludf.DUMMYFUNCTION("""COMPUTED_VALUE"""),30)</f>
        <v>30</v>
      </c>
    </row>
    <row r="42" spans="1:3" ht="15" customHeight="1" x14ac:dyDescent="0.25">
      <c r="A42" s="108" t="str">
        <f ca="1">IFERROR(__xludf.DUMMYFUNCTION("""COMPUTED_VALUE"""),"41P")</f>
        <v>41P</v>
      </c>
      <c r="B42" s="108">
        <f ca="1">IFERROR(__xludf.DUMMYFUNCTION("""COMPUTED_VALUE"""),70)</f>
        <v>70</v>
      </c>
      <c r="C42" s="108">
        <f ca="1">IFERROR(__xludf.DUMMYFUNCTION("""COMPUTED_VALUE"""),16)</f>
        <v>16</v>
      </c>
    </row>
    <row r="43" spans="1:3" ht="15" customHeight="1" x14ac:dyDescent="0.25">
      <c r="A43" s="108" t="str">
        <f ca="1">IFERROR(__xludf.DUMMYFUNCTION("""COMPUTED_VALUE"""),"42K")</f>
        <v>42K</v>
      </c>
      <c r="B43" s="108" t="str">
        <f ca="1">IFERROR(__xludf.DUMMYFUNCTION("""COMPUTED_VALUE"""),"N.A.")</f>
        <v>N.A.</v>
      </c>
      <c r="C43" s="108" t="str">
        <f ca="1">IFERROR(__xludf.DUMMYFUNCTION("""COMPUTED_VALUE"""),"N.A.")</f>
        <v>N.A.</v>
      </c>
    </row>
    <row r="44" spans="1:3" ht="15" customHeight="1" x14ac:dyDescent="0.25">
      <c r="A44" s="108" t="str">
        <f ca="1">IFERROR(__xludf.DUMMYFUNCTION("""COMPUTED_VALUE"""),"43K")</f>
        <v>43K</v>
      </c>
      <c r="B44" s="108" t="str">
        <f ca="1">IFERROR(__xludf.DUMMYFUNCTION("""COMPUTED_VALUE"""),"N.A.")</f>
        <v>N.A.</v>
      </c>
      <c r="C44" s="108" t="str">
        <f ca="1">IFERROR(__xludf.DUMMYFUNCTION("""COMPUTED_VALUE"""),"N.A.")</f>
        <v>N.A.</v>
      </c>
    </row>
    <row r="45" spans="1:3" ht="15" customHeight="1" x14ac:dyDescent="0.25">
      <c r="A45" s="108" t="str">
        <f ca="1">IFERROR(__xludf.DUMMYFUNCTION("""COMPUTED_VALUE"""),"44K")</f>
        <v>44K</v>
      </c>
      <c r="B45" s="108">
        <f ca="1">IFERROR(__xludf.DUMMYFUNCTION("""COMPUTED_VALUE"""),64)</f>
        <v>64</v>
      </c>
      <c r="C45" s="108">
        <f ca="1">IFERROR(__xludf.DUMMYFUNCTION("""COMPUTED_VALUE"""),4)</f>
        <v>4</v>
      </c>
    </row>
    <row r="46" spans="1:3" ht="15" customHeight="1" x14ac:dyDescent="0.25">
      <c r="A46" s="108" t="str">
        <f ca="1">IFERROR(__xludf.DUMMYFUNCTION("""COMPUTED_VALUE"""),"45K")</f>
        <v>45K</v>
      </c>
      <c r="B46" s="108">
        <f ca="1">IFERROR(__xludf.DUMMYFUNCTION("""COMPUTED_VALUE"""),107)</f>
        <v>107</v>
      </c>
      <c r="C46" s="108">
        <f ca="1">IFERROR(__xludf.DUMMYFUNCTION("""COMPUTED_VALUE"""),14)</f>
        <v>14</v>
      </c>
    </row>
    <row r="47" spans="1:3" ht="15" customHeight="1" x14ac:dyDescent="0.25">
      <c r="A47" s="108" t="str">
        <f ca="1">IFERROR(__xludf.DUMMYFUNCTION("""COMPUTED_VALUE"""),"46K")</f>
        <v>46K</v>
      </c>
      <c r="B47" s="108" t="str">
        <f ca="1">IFERROR(__xludf.DUMMYFUNCTION("""COMPUTED_VALUE"""),"N.A.")</f>
        <v>N.A.</v>
      </c>
      <c r="C47" s="108" t="str">
        <f ca="1">IFERROR(__xludf.DUMMYFUNCTION("""COMPUTED_VALUE"""),"N.A.")</f>
        <v>N.A.</v>
      </c>
    </row>
    <row r="48" spans="1:3" ht="15" customHeight="1" x14ac:dyDescent="0.25">
      <c r="A48" s="108" t="str">
        <f ca="1">IFERROR(__xludf.DUMMYFUNCTION("""COMPUTED_VALUE"""),"47K")</f>
        <v>47K</v>
      </c>
      <c r="B48" s="108" t="str">
        <f ca="1">IFERROR(__xludf.DUMMYFUNCTION("""COMPUTED_VALUE"""),"N.A.")</f>
        <v>N.A.</v>
      </c>
      <c r="C48" s="108" t="str">
        <f ca="1">IFERROR(__xludf.DUMMYFUNCTION("""COMPUTED_VALUE"""),"N.A.")</f>
        <v>N.A.</v>
      </c>
    </row>
    <row r="49" spans="1:3" ht="15" customHeight="1" x14ac:dyDescent="0.25">
      <c r="A49" s="108" t="str">
        <f ca="1">IFERROR(__xludf.DUMMYFUNCTION("""COMPUTED_VALUE"""),"48K")</f>
        <v>48K</v>
      </c>
      <c r="B49" s="108" t="str">
        <f ca="1">IFERROR(__xludf.DUMMYFUNCTION("""COMPUTED_VALUE"""),"N.A.")</f>
        <v>N.A.</v>
      </c>
      <c r="C49" s="108" t="str">
        <f ca="1">IFERROR(__xludf.DUMMYFUNCTION("""COMPUTED_VALUE"""),"N.A.")</f>
        <v>N.A.</v>
      </c>
    </row>
    <row r="50" spans="1:3" ht="15" customHeight="1" x14ac:dyDescent="0.25">
      <c r="A50" s="108" t="str">
        <f ca="1">IFERROR(__xludf.DUMMYFUNCTION("""COMPUTED_VALUE"""),"49K")</f>
        <v>49K</v>
      </c>
      <c r="B50" s="108">
        <f ca="1">IFERROR(__xludf.DUMMYFUNCTION("""COMPUTED_VALUE"""),80)</f>
        <v>80</v>
      </c>
      <c r="C50" s="108">
        <f ca="1">IFERROR(__xludf.DUMMYFUNCTION("""COMPUTED_VALUE"""),4)</f>
        <v>4</v>
      </c>
    </row>
    <row r="51" spans="1:3" ht="15" customHeight="1" x14ac:dyDescent="0.25">
      <c r="A51" s="108" t="str">
        <f ca="1">IFERROR(__xludf.DUMMYFUNCTION("""COMPUTED_VALUE"""),"50K")</f>
        <v>50K</v>
      </c>
      <c r="B51" s="108">
        <f ca="1">IFERROR(__xludf.DUMMYFUNCTION("""COMPUTED_VALUE"""),32)</f>
        <v>32</v>
      </c>
      <c r="C51" s="108">
        <f ca="1">IFERROR(__xludf.DUMMYFUNCTION("""COMPUTED_VALUE"""),33)</f>
        <v>33</v>
      </c>
    </row>
    <row r="52" spans="1:3" ht="15" customHeight="1" x14ac:dyDescent="0.25">
      <c r="A52" s="108" t="str">
        <f ca="1">IFERROR(__xludf.DUMMYFUNCTION("""COMPUTED_VALUE"""),"51P")</f>
        <v>51P</v>
      </c>
      <c r="B52" s="108" t="str">
        <f ca="1">IFERROR(__xludf.DUMMYFUNCTION("""COMPUTED_VALUE"""),"N.A.")</f>
        <v>N.A.</v>
      </c>
      <c r="C52" s="108" t="str">
        <f ca="1">IFERROR(__xludf.DUMMYFUNCTION("""COMPUTED_VALUE"""),"N.A.")</f>
        <v>N.A.</v>
      </c>
    </row>
    <row r="53" spans="1:3" ht="15" customHeight="1" x14ac:dyDescent="0.25">
      <c r="A53" s="108" t="str">
        <f ca="1">IFERROR(__xludf.DUMMYFUNCTION("""COMPUTED_VALUE"""),"52K")</f>
        <v>52K</v>
      </c>
      <c r="B53" s="108" t="str">
        <f ca="1">IFERROR(__xludf.DUMMYFUNCTION("""COMPUTED_VALUE"""),"N.A.")</f>
        <v>N.A.</v>
      </c>
      <c r="C53" s="108" t="str">
        <f ca="1">IFERROR(__xludf.DUMMYFUNCTION("""COMPUTED_VALUE"""),"N.A.")</f>
        <v>N.A.</v>
      </c>
    </row>
    <row r="54" spans="1:3" ht="15" customHeight="1" x14ac:dyDescent="0.25">
      <c r="A54" s="108" t="str">
        <f ca="1">IFERROR(__xludf.DUMMYFUNCTION("""COMPUTED_VALUE"""),"53K")</f>
        <v>53K</v>
      </c>
      <c r="B54" s="108">
        <f ca="1">IFERROR(__xludf.DUMMYFUNCTION("""COMPUTED_VALUE"""),78)</f>
        <v>78</v>
      </c>
      <c r="C54" s="108">
        <f ca="1">IFERROR(__xludf.DUMMYFUNCTION("""COMPUTED_VALUE"""),3)</f>
        <v>3</v>
      </c>
    </row>
    <row r="55" spans="1:3" ht="15" customHeight="1" x14ac:dyDescent="0.25">
      <c r="A55" s="108" t="str">
        <f ca="1">IFERROR(__xludf.DUMMYFUNCTION("""COMPUTED_VALUE"""),"54K")</f>
        <v>54K</v>
      </c>
      <c r="B55" s="108">
        <f ca="1">IFERROR(__xludf.DUMMYFUNCTION("""COMPUTED_VALUE"""),130)</f>
        <v>130</v>
      </c>
      <c r="C55" s="108">
        <f ca="1">IFERROR(__xludf.DUMMYFUNCTION("""COMPUTED_VALUE"""),0)</f>
        <v>0</v>
      </c>
    </row>
    <row r="56" spans="1:3" ht="15" customHeight="1" x14ac:dyDescent="0.25">
      <c r="A56" s="108" t="str">
        <f ca="1">IFERROR(__xludf.DUMMYFUNCTION("""COMPUTED_VALUE"""),"55K")</f>
        <v>55K</v>
      </c>
      <c r="B56" s="108">
        <f ca="1">IFERROR(__xludf.DUMMYFUNCTION("""COMPUTED_VALUE"""),108)</f>
        <v>108</v>
      </c>
      <c r="C56" s="108" t="str">
        <f ca="1">IFERROR(__xludf.DUMMYFUNCTION("""COMPUTED_VALUE"""),"N.A.")</f>
        <v>N.A.</v>
      </c>
    </row>
    <row r="57" spans="1:3" ht="15" customHeight="1" x14ac:dyDescent="0.25">
      <c r="A57" s="108" t="str">
        <f ca="1">IFERROR(__xludf.DUMMYFUNCTION("""COMPUTED_VALUE"""),"56K")</f>
        <v>56K</v>
      </c>
      <c r="B57" s="108">
        <f ca="1">IFERROR(__xludf.DUMMYFUNCTION("""COMPUTED_VALUE"""),67)</f>
        <v>67</v>
      </c>
      <c r="C57" s="108">
        <f ca="1">IFERROR(__xludf.DUMMYFUNCTION("""COMPUTED_VALUE"""),3)</f>
        <v>3</v>
      </c>
    </row>
    <row r="58" spans="1:3" ht="15" customHeight="1" x14ac:dyDescent="0.25">
      <c r="A58" s="108" t="str">
        <f ca="1">IFERROR(__xludf.DUMMYFUNCTION("""COMPUTED_VALUE"""),"57K")</f>
        <v>57K</v>
      </c>
      <c r="B58" s="108">
        <f ca="1">IFERROR(__xludf.DUMMYFUNCTION("""COMPUTED_VALUE"""),108)</f>
        <v>108</v>
      </c>
      <c r="C58" s="108">
        <f ca="1">IFERROR(__xludf.DUMMYFUNCTION("""COMPUTED_VALUE"""),0)</f>
        <v>0</v>
      </c>
    </row>
    <row r="59" spans="1:3" ht="15" customHeight="1" x14ac:dyDescent="0.25">
      <c r="A59" s="108" t="str">
        <f ca="1">IFERROR(__xludf.DUMMYFUNCTION("""COMPUTED_VALUE"""),"58K")</f>
        <v>58K</v>
      </c>
      <c r="B59" s="108">
        <f ca="1">IFERROR(__xludf.DUMMYFUNCTION("""COMPUTED_VALUE"""),98)</f>
        <v>98</v>
      </c>
      <c r="C59" s="108">
        <f ca="1">IFERROR(__xludf.DUMMYFUNCTION("""COMPUTED_VALUE"""),24)</f>
        <v>24</v>
      </c>
    </row>
    <row r="60" spans="1:3" ht="15" customHeight="1" x14ac:dyDescent="0.25">
      <c r="A60" s="108" t="str">
        <f ca="1">IFERROR(__xludf.DUMMYFUNCTION("""COMPUTED_VALUE"""),"59K")</f>
        <v>59K</v>
      </c>
      <c r="B60" s="108" t="str">
        <f ca="1">IFERROR(__xludf.DUMMYFUNCTION("""COMPUTED_VALUE"""),"N.A.")</f>
        <v>N.A.</v>
      </c>
      <c r="C60" s="108" t="str">
        <f ca="1">IFERROR(__xludf.DUMMYFUNCTION("""COMPUTED_VALUE"""),"N.A.")</f>
        <v>N.A.</v>
      </c>
    </row>
    <row r="61" spans="1:3" ht="15" customHeight="1" x14ac:dyDescent="0.25">
      <c r="A61" s="108" t="str">
        <f ca="1">IFERROR(__xludf.DUMMYFUNCTION("""COMPUTED_VALUE"""),"60P")</f>
        <v>60P</v>
      </c>
      <c r="B61" s="108" t="str">
        <f ca="1">IFERROR(__xludf.DUMMYFUNCTION("""COMPUTED_VALUE"""),"N.A.")</f>
        <v>N.A.</v>
      </c>
      <c r="C61" s="108" t="str">
        <f ca="1">IFERROR(__xludf.DUMMYFUNCTION("""COMPUTED_VALUE"""),"N.A.")</f>
        <v>N.A.</v>
      </c>
    </row>
    <row r="62" spans="1:3" ht="15" customHeight="1" x14ac:dyDescent="0.25">
      <c r="A62" s="108" t="str">
        <f ca="1">IFERROR(__xludf.DUMMYFUNCTION("""COMPUTED_VALUE"""),"61K")</f>
        <v>61K</v>
      </c>
      <c r="B62" s="108" t="str">
        <f ca="1">IFERROR(__xludf.DUMMYFUNCTION("""COMPUTED_VALUE"""),"N.A.")</f>
        <v>N.A.</v>
      </c>
      <c r="C62" s="108" t="str">
        <f ca="1">IFERROR(__xludf.DUMMYFUNCTION("""COMPUTED_VALUE"""),"N.A.")</f>
        <v>N.A.</v>
      </c>
    </row>
    <row r="63" spans="1:3" ht="15" customHeight="1" x14ac:dyDescent="0.25">
      <c r="A63" s="108" t="str">
        <f ca="1">IFERROR(__xludf.DUMMYFUNCTION("""COMPUTED_VALUE"""),"62K")</f>
        <v>62K</v>
      </c>
      <c r="B63" s="108">
        <f ca="1">IFERROR(__xludf.DUMMYFUNCTION("""COMPUTED_VALUE"""),66)</f>
        <v>66</v>
      </c>
      <c r="C63" s="108">
        <f ca="1">IFERROR(__xludf.DUMMYFUNCTION("""COMPUTED_VALUE"""),10)</f>
        <v>10</v>
      </c>
    </row>
    <row r="64" spans="1:3" ht="15" customHeight="1" x14ac:dyDescent="0.25">
      <c r="A64" s="108" t="str">
        <f ca="1">IFERROR(__xludf.DUMMYFUNCTION("""COMPUTED_VALUE"""),"63K")</f>
        <v>63K</v>
      </c>
      <c r="B64" s="108">
        <f ca="1">IFERROR(__xludf.DUMMYFUNCTION("""COMPUTED_VALUE"""),97)</f>
        <v>97</v>
      </c>
      <c r="C64" s="108">
        <f ca="1">IFERROR(__xludf.DUMMYFUNCTION("""COMPUTED_VALUE"""),8)</f>
        <v>8</v>
      </c>
    </row>
    <row r="65" spans="1:3" ht="15" customHeight="1" x14ac:dyDescent="0.25">
      <c r="A65" s="108" t="str">
        <f ca="1">IFERROR(__xludf.DUMMYFUNCTION("""COMPUTED_VALUE"""),"64P")</f>
        <v>64P</v>
      </c>
      <c r="B65" s="108">
        <f ca="1">IFERROR(__xludf.DUMMYFUNCTION("""COMPUTED_VALUE"""),70)</f>
        <v>70</v>
      </c>
      <c r="C65" s="108" t="str">
        <f ca="1">IFERROR(__xludf.DUMMYFUNCTION("""COMPUTED_VALUE"""),"N.A.")</f>
        <v>N.A.</v>
      </c>
    </row>
    <row r="66" spans="1:3" ht="15" customHeight="1" x14ac:dyDescent="0.25">
      <c r="A66" s="108" t="str">
        <f ca="1">IFERROR(__xludf.DUMMYFUNCTION("""COMPUTED_VALUE"""),"65K")</f>
        <v>65K</v>
      </c>
      <c r="B66" s="108">
        <f ca="1">IFERROR(__xludf.DUMMYFUNCTION("""COMPUTED_VALUE"""),71)</f>
        <v>71</v>
      </c>
      <c r="C66" s="108">
        <f ca="1">IFERROR(__xludf.DUMMYFUNCTION("""COMPUTED_VALUE"""),4)</f>
        <v>4</v>
      </c>
    </row>
    <row r="67" spans="1:3" ht="15" customHeight="1" x14ac:dyDescent="0.25">
      <c r="A67" s="108" t="str">
        <f ca="1">IFERROR(__xludf.DUMMYFUNCTION("""COMPUTED_VALUE"""),"66P")</f>
        <v>66P</v>
      </c>
      <c r="B67" s="108">
        <f ca="1">IFERROR(__xludf.DUMMYFUNCTION("""COMPUTED_VALUE"""),94)</f>
        <v>94</v>
      </c>
      <c r="C67" s="108">
        <f ca="1">IFERROR(__xludf.DUMMYFUNCTION("""COMPUTED_VALUE"""),0)</f>
        <v>0</v>
      </c>
    </row>
    <row r="68" spans="1:3" ht="15" customHeight="1" x14ac:dyDescent="0.25">
      <c r="A68" s="108" t="str">
        <f ca="1">IFERROR(__xludf.DUMMYFUNCTION("""COMPUTED_VALUE"""),"67K")</f>
        <v>67K</v>
      </c>
      <c r="B68" s="108">
        <f ca="1">IFERROR(__xludf.DUMMYFUNCTION("""COMPUTED_VALUE"""),82)</f>
        <v>82</v>
      </c>
      <c r="C68" s="108">
        <f ca="1">IFERROR(__xludf.DUMMYFUNCTION("""COMPUTED_VALUE"""),1)</f>
        <v>1</v>
      </c>
    </row>
    <row r="69" spans="1:3" ht="15" customHeight="1" x14ac:dyDescent="0.25">
      <c r="A69" s="108" t="str">
        <f ca="1">IFERROR(__xludf.DUMMYFUNCTION("""COMPUTED_VALUE"""),"68K")</f>
        <v>68K</v>
      </c>
      <c r="B69" s="108">
        <f ca="1">IFERROR(__xludf.DUMMYFUNCTION("""COMPUTED_VALUE"""),94)</f>
        <v>94</v>
      </c>
      <c r="C69" s="108">
        <f ca="1">IFERROR(__xludf.DUMMYFUNCTION("""COMPUTED_VALUE"""),3)</f>
        <v>3</v>
      </c>
    </row>
    <row r="70" spans="1:3" ht="15" customHeight="1" x14ac:dyDescent="0.25">
      <c r="A70" s="108" t="str">
        <f ca="1">IFERROR(__xludf.DUMMYFUNCTION("""COMPUTED_VALUE"""),"69K")</f>
        <v>69K</v>
      </c>
      <c r="B70" s="108">
        <f ca="1">IFERROR(__xludf.DUMMYFUNCTION("""COMPUTED_VALUE"""),68)</f>
        <v>68</v>
      </c>
      <c r="C70" s="108">
        <f ca="1">IFERROR(__xludf.DUMMYFUNCTION("""COMPUTED_VALUE"""),11)</f>
        <v>11</v>
      </c>
    </row>
    <row r="71" spans="1:3" ht="15" customHeight="1" x14ac:dyDescent="0.25">
      <c r="A71" s="108" t="str">
        <f ca="1">IFERROR(__xludf.DUMMYFUNCTION("""COMPUTED_VALUE"""),"70P")</f>
        <v>70P</v>
      </c>
      <c r="B71" s="108">
        <f ca="1">IFERROR(__xludf.DUMMYFUNCTION("""COMPUTED_VALUE"""),104)</f>
        <v>104</v>
      </c>
      <c r="C71" s="108">
        <f ca="1">IFERROR(__xludf.DUMMYFUNCTION("""COMPUTED_VALUE"""),4)</f>
        <v>4</v>
      </c>
    </row>
    <row r="72" spans="1:3" ht="15" customHeight="1" x14ac:dyDescent="0.25">
      <c r="A72" s="108" t="str">
        <f ca="1">IFERROR(__xludf.DUMMYFUNCTION("""COMPUTED_VALUE"""),"71P")</f>
        <v>71P</v>
      </c>
      <c r="B72" s="108">
        <f ca="1">IFERROR(__xludf.DUMMYFUNCTION("""COMPUTED_VALUE"""),93)</f>
        <v>93</v>
      </c>
      <c r="C72" s="108">
        <f ca="1">IFERROR(__xludf.DUMMYFUNCTION("""COMPUTED_VALUE"""),13)</f>
        <v>13</v>
      </c>
    </row>
    <row r="73" spans="1:3" ht="15" customHeight="1" x14ac:dyDescent="0.25">
      <c r="A73" s="108" t="str">
        <f ca="1">IFERROR(__xludf.DUMMYFUNCTION("""COMPUTED_VALUE"""),"72K")</f>
        <v>72K</v>
      </c>
      <c r="B73" s="108">
        <f ca="1">IFERROR(__xludf.DUMMYFUNCTION("""COMPUTED_VALUE"""),118)</f>
        <v>118</v>
      </c>
      <c r="C73" s="108">
        <f ca="1">IFERROR(__xludf.DUMMYFUNCTION("""COMPUTED_VALUE"""),17)</f>
        <v>17</v>
      </c>
    </row>
    <row r="74" spans="1:3" ht="15" customHeight="1" x14ac:dyDescent="0.25">
      <c r="A74" s="108" t="str">
        <f ca="1">IFERROR(__xludf.DUMMYFUNCTION("""COMPUTED_VALUE"""),"73K")</f>
        <v>73K</v>
      </c>
      <c r="B74" s="108">
        <f ca="1">IFERROR(__xludf.DUMMYFUNCTION("""COMPUTED_VALUE"""),83)</f>
        <v>83</v>
      </c>
      <c r="C74" s="108">
        <f ca="1">IFERROR(__xludf.DUMMYFUNCTION("""COMPUTED_VALUE"""),3)</f>
        <v>3</v>
      </c>
    </row>
    <row r="75" spans="1:3" ht="15" customHeight="1" x14ac:dyDescent="0.25">
      <c r="A75" s="108" t="str">
        <f ca="1">IFERROR(__xludf.DUMMYFUNCTION("""COMPUTED_VALUE"""),"74K")</f>
        <v>74K</v>
      </c>
      <c r="B75" s="108" t="str">
        <f ca="1">IFERROR(__xludf.DUMMYFUNCTION("""COMPUTED_VALUE"""),"N.A.")</f>
        <v>N.A.</v>
      </c>
      <c r="C75" s="108" t="str">
        <f ca="1">IFERROR(__xludf.DUMMYFUNCTION("""COMPUTED_VALUE"""),"N.A.")</f>
        <v>N.A.</v>
      </c>
    </row>
    <row r="76" spans="1:3" ht="15.75" customHeight="1" x14ac:dyDescent="0.25">
      <c r="A76" s="108" t="str">
        <f ca="1">IFERROR(__xludf.DUMMYFUNCTION("""COMPUTED_VALUE"""),"75K")</f>
        <v>75K</v>
      </c>
      <c r="B76" s="108">
        <f ca="1">IFERROR(__xludf.DUMMYFUNCTION("""COMPUTED_VALUE"""),51)</f>
        <v>51</v>
      </c>
      <c r="C76" s="108">
        <f ca="1">IFERROR(__xludf.DUMMYFUNCTION("""COMPUTED_VALUE"""),86)</f>
        <v>86</v>
      </c>
    </row>
    <row r="77" spans="1:3" ht="14.25" customHeight="1" x14ac:dyDescent="0.25">
      <c r="A77" s="108" t="str">
        <f ca="1">IFERROR(__xludf.DUMMYFUNCTION("""COMPUTED_VALUE"""),"77P")</f>
        <v>77P</v>
      </c>
      <c r="B77" s="108" t="str">
        <f ca="1">IFERROR(__xludf.DUMMYFUNCTION("""COMPUTED_VALUE"""),"N.A.")</f>
        <v>N.A.</v>
      </c>
      <c r="C77" s="108" t="str">
        <f ca="1">IFERROR(__xludf.DUMMYFUNCTION("""COMPUTED_VALUE"""),"N.A.")</f>
        <v>N.A.</v>
      </c>
    </row>
    <row r="78" spans="1:3" ht="14.25" customHeight="1" x14ac:dyDescent="0.25">
      <c r="A78" s="108" t="str">
        <f ca="1">IFERROR(__xludf.DUMMYFUNCTION("""COMPUTED_VALUE"""),"78K")</f>
        <v>78K</v>
      </c>
      <c r="B78" s="108">
        <f ca="1">IFERROR(__xludf.DUMMYFUNCTION("""COMPUTED_VALUE"""),62)</f>
        <v>62</v>
      </c>
      <c r="C78" s="108">
        <f ca="1">IFERROR(__xludf.DUMMYFUNCTION("""COMPUTED_VALUE"""),44)</f>
        <v>44</v>
      </c>
    </row>
    <row r="79" spans="1:3" ht="14.25" customHeight="1" x14ac:dyDescent="0.25">
      <c r="A79" s="108" t="str">
        <f ca="1">IFERROR(__xludf.DUMMYFUNCTION("""COMPUTED_VALUE"""),"79P")</f>
        <v>79P</v>
      </c>
      <c r="B79" s="108">
        <f ca="1">IFERROR(__xludf.DUMMYFUNCTION("""COMPUTED_VALUE"""),88)</f>
        <v>88</v>
      </c>
      <c r="C79" s="108">
        <f ca="1">IFERROR(__xludf.DUMMYFUNCTION("""COMPUTED_VALUE"""),5)</f>
        <v>5</v>
      </c>
    </row>
    <row r="80" spans="1:3" ht="14.25" customHeight="1" x14ac:dyDescent="0.25">
      <c r="A80" s="108" t="str">
        <f ca="1">IFERROR(__xludf.DUMMYFUNCTION("""COMPUTED_VALUE"""),"80P")</f>
        <v>80P</v>
      </c>
      <c r="B80" s="108" t="str">
        <f ca="1">IFERROR(__xludf.DUMMYFUNCTION("""COMPUTED_VALUE"""),"N.A.")</f>
        <v>N.A.</v>
      </c>
      <c r="C80" s="108" t="str">
        <f ca="1">IFERROR(__xludf.DUMMYFUNCTION("""COMPUTED_VALUE"""),"N.A.")</f>
        <v>N.A.</v>
      </c>
    </row>
    <row r="81" spans="1:3" ht="14.25" customHeight="1" x14ac:dyDescent="0.25">
      <c r="A81" s="108" t="str">
        <f ca="1">IFERROR(__xludf.DUMMYFUNCTION("""COMPUTED_VALUE"""),"82K")</f>
        <v>82K</v>
      </c>
      <c r="B81" s="108" t="str">
        <f ca="1">IFERROR(__xludf.DUMMYFUNCTION("""COMPUTED_VALUE"""),"N.A.")</f>
        <v>N.A.</v>
      </c>
      <c r="C81" s="108">
        <f ca="1">IFERROR(__xludf.DUMMYFUNCTION("""COMPUTED_VALUE"""),0)</f>
        <v>0</v>
      </c>
    </row>
    <row r="82" spans="1:3" ht="14.25" customHeight="1" x14ac:dyDescent="0.25">
      <c r="A82" s="108" t="str">
        <f ca="1">IFERROR(__xludf.DUMMYFUNCTION("""COMPUTED_VALUE"""),"85P")</f>
        <v>85P</v>
      </c>
      <c r="B82" s="108">
        <f ca="1">IFERROR(__xludf.DUMMYFUNCTION("""COMPUTED_VALUE"""),93)</f>
        <v>93</v>
      </c>
      <c r="C82" s="108">
        <f ca="1">IFERROR(__xludf.DUMMYFUNCTION("""COMPUTED_VALUE"""),2)</f>
        <v>2</v>
      </c>
    </row>
    <row r="83" spans="1:3" ht="14.25" customHeight="1" x14ac:dyDescent="0.25">
      <c r="A83" s="108" t="str">
        <f ca="1">IFERROR(__xludf.DUMMYFUNCTION("""COMPUTED_VALUE"""),"86K")</f>
        <v>86K</v>
      </c>
      <c r="B83" s="108">
        <f ca="1">IFERROR(__xludf.DUMMYFUNCTION("""COMPUTED_VALUE"""),72)</f>
        <v>72</v>
      </c>
      <c r="C83" s="108">
        <f ca="1">IFERROR(__xludf.DUMMYFUNCTION("""COMPUTED_VALUE"""),0)</f>
        <v>0</v>
      </c>
    </row>
    <row r="84" spans="1:3" ht="14.25" customHeight="1" x14ac:dyDescent="0.25">
      <c r="A84" s="108" t="str">
        <f ca="1">IFERROR(__xludf.DUMMYFUNCTION("""COMPUTED_VALUE"""),"87P")</f>
        <v>87P</v>
      </c>
      <c r="B84" s="108">
        <f ca="1">IFERROR(__xludf.DUMMYFUNCTION("""COMPUTED_VALUE"""),80)</f>
        <v>80</v>
      </c>
      <c r="C84" s="108">
        <f ca="1">IFERROR(__xludf.DUMMYFUNCTION("""COMPUTED_VALUE"""),8)</f>
        <v>8</v>
      </c>
    </row>
    <row r="85" spans="1:3" ht="14.25" customHeight="1" x14ac:dyDescent="0.25">
      <c r="A85" s="108" t="str">
        <f ca="1">IFERROR(__xludf.DUMMYFUNCTION("""COMPUTED_VALUE"""),"88K")</f>
        <v>88K</v>
      </c>
      <c r="B85" s="108" t="str">
        <f ca="1">IFERROR(__xludf.DUMMYFUNCTION("""COMPUTED_VALUE"""),"N.A.")</f>
        <v>N.A.</v>
      </c>
      <c r="C85" s="108">
        <f ca="1">IFERROR(__xludf.DUMMYFUNCTION("""COMPUTED_VALUE"""),0)</f>
        <v>0</v>
      </c>
    </row>
    <row r="86" spans="1:3" ht="14.25" customHeight="1" x14ac:dyDescent="0.25">
      <c r="A86" s="108" t="str">
        <f ca="1">IFERROR(__xludf.DUMMYFUNCTION("""COMPUTED_VALUE"""),"89P")</f>
        <v>89P</v>
      </c>
      <c r="B86" s="108" t="str">
        <f ca="1">IFERROR(__xludf.DUMMYFUNCTION("""COMPUTED_VALUE"""),"N.A.")</f>
        <v>N.A.</v>
      </c>
      <c r="C86" s="108">
        <f ca="1">IFERROR(__xludf.DUMMYFUNCTION("""COMPUTED_VALUE"""),0)</f>
        <v>0</v>
      </c>
    </row>
    <row r="87" spans="1:3" ht="14.25" customHeight="1" x14ac:dyDescent="0.25">
      <c r="A87" s="108" t="str">
        <f ca="1">IFERROR(__xludf.DUMMYFUNCTION("""COMPUTED_VALUE"""),"91K")</f>
        <v>91K</v>
      </c>
      <c r="B87" s="108">
        <f ca="1">IFERROR(__xludf.DUMMYFUNCTION("""COMPUTED_VALUE"""),92)</f>
        <v>92</v>
      </c>
      <c r="C87" s="108">
        <f ca="1">IFERROR(__xludf.DUMMYFUNCTION("""COMPUTED_VALUE"""),8)</f>
        <v>8</v>
      </c>
    </row>
    <row r="88" spans="1:3" ht="14.25" customHeight="1" x14ac:dyDescent="0.25">
      <c r="A88" s="108" t="str">
        <f ca="1">IFERROR(__xludf.DUMMYFUNCTION("""COMPUTED_VALUE"""),"92P")</f>
        <v>92P</v>
      </c>
      <c r="B88" s="108" t="str">
        <f ca="1">IFERROR(__xludf.DUMMYFUNCTION("""COMPUTED_VALUE"""),"N.A.")</f>
        <v>N.A.</v>
      </c>
      <c r="C88" s="108" t="str">
        <f ca="1">IFERROR(__xludf.DUMMYFUNCTION("""COMPUTED_VALUE"""),"N.A.")</f>
        <v>N.A.</v>
      </c>
    </row>
    <row r="89" spans="1:3" ht="14.25" customHeight="1" x14ac:dyDescent="0.25">
      <c r="A89" s="108" t="str">
        <f ca="1">IFERROR(__xludf.DUMMYFUNCTION("""COMPUTED_VALUE"""),"96P")</f>
        <v>96P</v>
      </c>
      <c r="B89" s="108">
        <f ca="1">IFERROR(__xludf.DUMMYFUNCTION("""COMPUTED_VALUE"""),74)</f>
        <v>74</v>
      </c>
      <c r="C89" s="108">
        <f ca="1">IFERROR(__xludf.DUMMYFUNCTION("""COMPUTED_VALUE"""),11)</f>
        <v>11</v>
      </c>
    </row>
    <row r="90" spans="1:3" ht="14.25" customHeight="1" x14ac:dyDescent="0.25">
      <c r="A90" s="108" t="str">
        <f ca="1">IFERROR(__xludf.DUMMYFUNCTION("""COMPUTED_VALUE"""),"97P")</f>
        <v>97P</v>
      </c>
      <c r="B90" s="108">
        <f ca="1">IFERROR(__xludf.DUMMYFUNCTION("""COMPUTED_VALUE"""),71)</f>
        <v>71</v>
      </c>
      <c r="C90" s="108">
        <f ca="1">IFERROR(__xludf.DUMMYFUNCTION("""COMPUTED_VALUE"""),6)</f>
        <v>6</v>
      </c>
    </row>
    <row r="91" spans="1:3" ht="14.25" customHeight="1" x14ac:dyDescent="0.25">
      <c r="A91" s="108" t="str">
        <f ca="1">IFERROR(__xludf.DUMMYFUNCTION("""COMPUTED_VALUE"""),"98P")</f>
        <v>98P</v>
      </c>
      <c r="B91" s="108">
        <f ca="1">IFERROR(__xludf.DUMMYFUNCTION("""COMPUTED_VALUE"""),104)</f>
        <v>104</v>
      </c>
      <c r="C91" s="108">
        <f ca="1">IFERROR(__xludf.DUMMYFUNCTION("""COMPUTED_VALUE"""),3)</f>
        <v>3</v>
      </c>
    </row>
    <row r="92" spans="1:3" ht="14.25" customHeight="1" x14ac:dyDescent="0.25">
      <c r="A92" s="108" t="str">
        <f ca="1">IFERROR(__xludf.DUMMYFUNCTION("""COMPUTED_VALUE"""),"100P")</f>
        <v>100P</v>
      </c>
      <c r="B92" s="108">
        <f ca="1">IFERROR(__xludf.DUMMYFUNCTION("""COMPUTED_VALUE"""),89)</f>
        <v>89</v>
      </c>
      <c r="C92" s="108">
        <f ca="1">IFERROR(__xludf.DUMMYFUNCTION("""COMPUTED_VALUE"""),10)</f>
        <v>10</v>
      </c>
    </row>
    <row r="93" spans="1:3" ht="14.25" customHeight="1" x14ac:dyDescent="0.25">
      <c r="A93" s="108" t="str">
        <f ca="1">IFERROR(__xludf.DUMMYFUNCTION("""COMPUTED_VALUE"""),"101P")</f>
        <v>101P</v>
      </c>
      <c r="B93" s="108" t="str">
        <f ca="1">IFERROR(__xludf.DUMMYFUNCTION("""COMPUTED_VALUE"""),"N.A.")</f>
        <v>N.A.</v>
      </c>
      <c r="C93" s="108" t="str">
        <f ca="1">IFERROR(__xludf.DUMMYFUNCTION("""COMPUTED_VALUE"""),"N.A.")</f>
        <v>N.A.</v>
      </c>
    </row>
    <row r="94" spans="1:3" ht="14.25" customHeight="1" x14ac:dyDescent="0.25">
      <c r="A94" s="108" t="str">
        <f ca="1">IFERROR(__xludf.DUMMYFUNCTION("""COMPUTED_VALUE"""),"102P")</f>
        <v>102P</v>
      </c>
      <c r="B94" s="108" t="str">
        <f ca="1">IFERROR(__xludf.DUMMYFUNCTION("""COMPUTED_VALUE"""),"N.A.")</f>
        <v>N.A.</v>
      </c>
      <c r="C94" s="108" t="str">
        <f ca="1">IFERROR(__xludf.DUMMYFUNCTION("""COMPUTED_VALUE"""),"N.A.")</f>
        <v>N.A.</v>
      </c>
    </row>
    <row r="95" spans="1:3" ht="14.25" customHeight="1" x14ac:dyDescent="0.25">
      <c r="A95" s="108" t="str">
        <f ca="1">IFERROR(__xludf.DUMMYFUNCTION("""COMPUTED_VALUE"""),"103K")</f>
        <v>103K</v>
      </c>
      <c r="B95" s="108">
        <f ca="1">IFERROR(__xludf.DUMMYFUNCTION("""COMPUTED_VALUE"""),51)</f>
        <v>51</v>
      </c>
      <c r="C95" s="108">
        <f ca="1">IFERROR(__xludf.DUMMYFUNCTION("""COMPUTED_VALUE"""),1)</f>
        <v>1</v>
      </c>
    </row>
    <row r="96" spans="1:3" ht="14.25" customHeight="1" x14ac:dyDescent="0.25">
      <c r="A96" s="108" t="str">
        <f ca="1">IFERROR(__xludf.DUMMYFUNCTION("""COMPUTED_VALUE"""),"104K")</f>
        <v>104K</v>
      </c>
      <c r="B96" s="108" t="str">
        <f ca="1">IFERROR(__xludf.DUMMYFUNCTION("""COMPUTED_VALUE"""),"N.A.")</f>
        <v>N.A.</v>
      </c>
      <c r="C96" s="108" t="str">
        <f ca="1">IFERROR(__xludf.DUMMYFUNCTION("""COMPUTED_VALUE"""),"N.A.")</f>
        <v>N.A.</v>
      </c>
    </row>
    <row r="97" spans="1:3" ht="14.25" customHeight="1" x14ac:dyDescent="0.25">
      <c r="A97" s="108" t="str">
        <f ca="1">IFERROR(__xludf.DUMMYFUNCTION("""COMPUTED_VALUE"""),"105P")</f>
        <v>105P</v>
      </c>
      <c r="B97" s="108" t="str">
        <f ca="1">IFERROR(__xludf.DUMMYFUNCTION("""COMPUTED_VALUE"""),"N.A.")</f>
        <v>N.A.</v>
      </c>
      <c r="C97" s="108" t="str">
        <f ca="1">IFERROR(__xludf.DUMMYFUNCTION("""COMPUTED_VALUE"""),"N.A.")</f>
        <v>N.A.</v>
      </c>
    </row>
    <row r="98" spans="1:3" ht="14.25" customHeight="1" x14ac:dyDescent="0.25">
      <c r="A98" s="108" t="str">
        <f ca="1">IFERROR(__xludf.DUMMYFUNCTION("""COMPUTED_VALUE"""),"106K")</f>
        <v>106K</v>
      </c>
      <c r="B98" s="108">
        <f ca="1">IFERROR(__xludf.DUMMYFUNCTION("""COMPUTED_VALUE"""),109)</f>
        <v>109</v>
      </c>
      <c r="C98" s="108">
        <f ca="1">IFERROR(__xludf.DUMMYFUNCTION("""COMPUTED_VALUE"""),3)</f>
        <v>3</v>
      </c>
    </row>
    <row r="99" spans="1:3" ht="14.25" customHeight="1" x14ac:dyDescent="0.25">
      <c r="A99" s="108" t="str">
        <f ca="1">IFERROR(__xludf.DUMMYFUNCTION("""COMPUTED_VALUE"""),"108K")</f>
        <v>108K</v>
      </c>
      <c r="B99" s="108">
        <f ca="1">IFERROR(__xludf.DUMMYFUNCTION("""COMPUTED_VALUE"""),68)</f>
        <v>68</v>
      </c>
      <c r="C99" s="108">
        <f ca="1">IFERROR(__xludf.DUMMYFUNCTION("""COMPUTED_VALUE"""),40)</f>
        <v>40</v>
      </c>
    </row>
    <row r="100" spans="1:3" ht="14.25" customHeight="1" x14ac:dyDescent="0.25">
      <c r="A100" s="108" t="str">
        <f ca="1">IFERROR(__xludf.DUMMYFUNCTION("""COMPUTED_VALUE"""),"109K")</f>
        <v>109K</v>
      </c>
      <c r="B100" s="108" t="str">
        <f ca="1">IFERROR(__xludf.DUMMYFUNCTION("""COMPUTED_VALUE"""),"N.A.")</f>
        <v>N.A.</v>
      </c>
      <c r="C100" s="108" t="str">
        <f ca="1">IFERROR(__xludf.DUMMYFUNCTION("""COMPUTED_VALUE"""),"N.A.")</f>
        <v>N.A.</v>
      </c>
    </row>
    <row r="101" spans="1:3" ht="14.25" customHeight="1" x14ac:dyDescent="0.25">
      <c r="A101" s="108" t="str">
        <f ca="1">IFERROR(__xludf.DUMMYFUNCTION("""COMPUTED_VALUE"""),"111K")</f>
        <v>111K</v>
      </c>
      <c r="B101" s="108">
        <f ca="1">IFERROR(__xludf.DUMMYFUNCTION("""COMPUTED_VALUE"""),44)</f>
        <v>44</v>
      </c>
      <c r="C101" s="108">
        <f ca="1">IFERROR(__xludf.DUMMYFUNCTION("""COMPUTED_VALUE"""),1)</f>
        <v>1</v>
      </c>
    </row>
    <row r="102" spans="1:3" ht="14.25" customHeight="1" x14ac:dyDescent="0.25">
      <c r="A102" s="108" t="str">
        <f ca="1">IFERROR(__xludf.DUMMYFUNCTION("""COMPUTED_VALUE"""),"113K")</f>
        <v>113K</v>
      </c>
      <c r="B102" s="108" t="str">
        <f ca="1">IFERROR(__xludf.DUMMYFUNCTION("""COMPUTED_VALUE"""),"N.A.")</f>
        <v>N.A.</v>
      </c>
      <c r="C102" s="108" t="str">
        <f ca="1">IFERROR(__xludf.DUMMYFUNCTION("""COMPUTED_VALUE"""),"N.A.")</f>
        <v>N.A.</v>
      </c>
    </row>
    <row r="103" spans="1:3" ht="14.25" customHeight="1" x14ac:dyDescent="0.25">
      <c r="A103" s="108" t="str">
        <f ca="1">IFERROR(__xludf.DUMMYFUNCTION("""COMPUTED_VALUE"""),"114P")</f>
        <v>114P</v>
      </c>
      <c r="B103" s="108">
        <f ca="1">IFERROR(__xludf.DUMMYFUNCTION("""COMPUTED_VALUE"""),68)</f>
        <v>68</v>
      </c>
      <c r="C103" s="108">
        <f ca="1">IFERROR(__xludf.DUMMYFUNCTION("""COMPUTED_VALUE"""),0)</f>
        <v>0</v>
      </c>
    </row>
    <row r="104" spans="1:3" ht="14.25" customHeight="1" x14ac:dyDescent="0.25">
      <c r="A104" s="108" t="str">
        <f ca="1">IFERROR(__xludf.DUMMYFUNCTION("""COMPUTED_VALUE"""),"115K")</f>
        <v>115K</v>
      </c>
      <c r="B104" s="108" t="str">
        <f ca="1">IFERROR(__xludf.DUMMYFUNCTION("""COMPUTED_VALUE"""),"N.A.")</f>
        <v>N.A.</v>
      </c>
      <c r="C104" s="108">
        <f ca="1">IFERROR(__xludf.DUMMYFUNCTION("""COMPUTED_VALUE"""),0)</f>
        <v>0</v>
      </c>
    </row>
    <row r="105" spans="1:3" ht="14.25" customHeight="1" x14ac:dyDescent="0.25">
      <c r="A105" s="108" t="str">
        <f ca="1">IFERROR(__xludf.DUMMYFUNCTION("""COMPUTED_VALUE"""),"120P")</f>
        <v>120P</v>
      </c>
      <c r="B105" s="108">
        <f ca="1">IFERROR(__xludf.DUMMYFUNCTION("""COMPUTED_VALUE"""),85)</f>
        <v>85</v>
      </c>
      <c r="C105" s="108">
        <f ca="1">IFERROR(__xludf.DUMMYFUNCTION("""COMPUTED_VALUE"""),7)</f>
        <v>7</v>
      </c>
    </row>
    <row r="106" spans="1:3" ht="14.25" customHeight="1" x14ac:dyDescent="0.25">
      <c r="A106" s="108" t="str">
        <f ca="1">IFERROR(__xludf.DUMMYFUNCTION("""COMPUTED_VALUE"""),"121P")</f>
        <v>121P</v>
      </c>
      <c r="B106" s="108" t="str">
        <f ca="1">IFERROR(__xludf.DUMMYFUNCTION("""COMPUTED_VALUE"""),"N.A.")</f>
        <v>N.A.</v>
      </c>
      <c r="C106" s="108" t="str">
        <f ca="1">IFERROR(__xludf.DUMMYFUNCTION("""COMPUTED_VALUE"""),"N.A.")</f>
        <v>N.A.</v>
      </c>
    </row>
    <row r="107" spans="1:3" ht="14.25" customHeight="1" x14ac:dyDescent="0.25">
      <c r="A107" s="108" t="str">
        <f ca="1">IFERROR(__xludf.DUMMYFUNCTION("""COMPUTED_VALUE"""),"122K")</f>
        <v>122K</v>
      </c>
      <c r="B107" s="108" t="str">
        <f ca="1">IFERROR(__xludf.DUMMYFUNCTION("""COMPUTED_VALUE"""),"N.A.")</f>
        <v>N.A.</v>
      </c>
      <c r="C107" s="108" t="str">
        <f ca="1">IFERROR(__xludf.DUMMYFUNCTION("""COMPUTED_VALUE"""),"N.A.")</f>
        <v>N.A.</v>
      </c>
    </row>
    <row r="108" spans="1:3" ht="14.25" customHeight="1" x14ac:dyDescent="0.25">
      <c r="A108" s="108" t="str">
        <f ca="1">IFERROR(__xludf.DUMMYFUNCTION("""COMPUTED_VALUE"""),"123K")</f>
        <v>123K</v>
      </c>
      <c r="B108" s="108">
        <f ca="1">IFERROR(__xludf.DUMMYFUNCTION("""COMPUTED_VALUE"""),79)</f>
        <v>79</v>
      </c>
      <c r="C108" s="108">
        <f ca="1">IFERROR(__xludf.DUMMYFUNCTION("""COMPUTED_VALUE"""),3)</f>
        <v>3</v>
      </c>
    </row>
    <row r="109" spans="1:3" ht="14.25" customHeight="1" x14ac:dyDescent="0.25">
      <c r="A109" s="108" t="str">
        <f ca="1">IFERROR(__xludf.DUMMYFUNCTION("""COMPUTED_VALUE"""),"124P")</f>
        <v>124P</v>
      </c>
      <c r="B109" s="108" t="str">
        <f ca="1">IFERROR(__xludf.DUMMYFUNCTION("""COMPUTED_VALUE"""),"N.A.")</f>
        <v>N.A.</v>
      </c>
      <c r="C109" s="108" t="str">
        <f ca="1">IFERROR(__xludf.DUMMYFUNCTION("""COMPUTED_VALUE"""),"N.A.")</f>
        <v>N.A.</v>
      </c>
    </row>
    <row r="110" spans="1:3" ht="14.25" customHeight="1" x14ac:dyDescent="0.25">
      <c r="A110" s="108" t="str">
        <f ca="1">IFERROR(__xludf.DUMMYFUNCTION("""COMPUTED_VALUE"""),"125P")</f>
        <v>125P</v>
      </c>
      <c r="B110" s="108">
        <f ca="1">IFERROR(__xludf.DUMMYFUNCTION("""COMPUTED_VALUE"""),83)</f>
        <v>83</v>
      </c>
      <c r="C110" s="108">
        <f ca="1">IFERROR(__xludf.DUMMYFUNCTION("""COMPUTED_VALUE"""),1)</f>
        <v>1</v>
      </c>
    </row>
    <row r="111" spans="1:3" ht="14.25" customHeight="1" x14ac:dyDescent="0.25">
      <c r="A111" s="108" t="str">
        <f ca="1">IFERROR(__xludf.DUMMYFUNCTION("""COMPUTED_VALUE"""),"126K")</f>
        <v>126K</v>
      </c>
      <c r="B111" s="108">
        <f ca="1">IFERROR(__xludf.DUMMYFUNCTION("""COMPUTED_VALUE"""),94)</f>
        <v>94</v>
      </c>
      <c r="C111" s="108">
        <f ca="1">IFERROR(__xludf.DUMMYFUNCTION("""COMPUTED_VALUE"""),4)</f>
        <v>4</v>
      </c>
    </row>
    <row r="112" spans="1:3" ht="14.25" customHeight="1" x14ac:dyDescent="0.25">
      <c r="A112" s="108" t="str">
        <f ca="1">IFERROR(__xludf.DUMMYFUNCTION("""COMPUTED_VALUE"""),"127K")</f>
        <v>127K</v>
      </c>
      <c r="B112" s="108">
        <f ca="1">IFERROR(__xludf.DUMMYFUNCTION("""COMPUTED_VALUE"""),110)</f>
        <v>110</v>
      </c>
      <c r="C112" s="108">
        <f ca="1">IFERROR(__xludf.DUMMYFUNCTION("""COMPUTED_VALUE"""),8)</f>
        <v>8</v>
      </c>
    </row>
    <row r="113" spans="1:3" ht="14.25" customHeight="1" x14ac:dyDescent="0.25">
      <c r="A113" s="108" t="str">
        <f ca="1">IFERROR(__xludf.DUMMYFUNCTION("""COMPUTED_VALUE"""),"128K")</f>
        <v>128K</v>
      </c>
      <c r="B113" s="108">
        <f ca="1">IFERROR(__xludf.DUMMYFUNCTION("""COMPUTED_VALUE"""),79)</f>
        <v>79</v>
      </c>
      <c r="C113" s="108">
        <f ca="1">IFERROR(__xludf.DUMMYFUNCTION("""COMPUTED_VALUE"""),2)</f>
        <v>2</v>
      </c>
    </row>
    <row r="114" spans="1:3" ht="14.25" customHeight="1" x14ac:dyDescent="0.25">
      <c r="A114" s="108" t="str">
        <f ca="1">IFERROR(__xludf.DUMMYFUNCTION("""COMPUTED_VALUE"""),"129K")</f>
        <v>129K</v>
      </c>
      <c r="B114" s="108" t="str">
        <f ca="1">IFERROR(__xludf.DUMMYFUNCTION("""COMPUTED_VALUE"""),"N.A.")</f>
        <v>N.A.</v>
      </c>
      <c r="C114" s="108" t="str">
        <f ca="1">IFERROR(__xludf.DUMMYFUNCTION("""COMPUTED_VALUE"""),"N.A.")</f>
        <v>N.A.</v>
      </c>
    </row>
    <row r="115" spans="1:3" ht="14.25" customHeight="1" x14ac:dyDescent="0.25">
      <c r="A115" s="108" t="str">
        <f ca="1">IFERROR(__xludf.DUMMYFUNCTION("""COMPUTED_VALUE"""),"130P")</f>
        <v>130P</v>
      </c>
      <c r="B115" s="108" t="str">
        <f ca="1">IFERROR(__xludf.DUMMYFUNCTION("""COMPUTED_VALUE"""),"N.A.")</f>
        <v>N.A.</v>
      </c>
      <c r="C115" s="108" t="str">
        <f ca="1">IFERROR(__xludf.DUMMYFUNCTION("""COMPUTED_VALUE"""),"N.A.")</f>
        <v>N.A.</v>
      </c>
    </row>
    <row r="116" spans="1:3" ht="14.25" customHeight="1" x14ac:dyDescent="0.25">
      <c r="A116" s="108" t="str">
        <f ca="1">IFERROR(__xludf.DUMMYFUNCTION("""COMPUTED_VALUE"""),"131P")</f>
        <v>131P</v>
      </c>
      <c r="B116" s="108" t="str">
        <f ca="1">IFERROR(__xludf.DUMMYFUNCTION("""COMPUTED_VALUE"""),"N.A.")</f>
        <v>N.A.</v>
      </c>
      <c r="C116" s="108" t="str">
        <f ca="1">IFERROR(__xludf.DUMMYFUNCTION("""COMPUTED_VALUE"""),"N.A.")</f>
        <v>N.A.</v>
      </c>
    </row>
    <row r="117" spans="1:3" ht="14.25" customHeight="1" x14ac:dyDescent="0.25">
      <c r="A117" s="108" t="str">
        <f ca="1">IFERROR(__xludf.DUMMYFUNCTION("""COMPUTED_VALUE"""),"133K")</f>
        <v>133K</v>
      </c>
      <c r="B117" s="108">
        <f ca="1">IFERROR(__xludf.DUMMYFUNCTION("""COMPUTED_VALUE"""),72)</f>
        <v>72</v>
      </c>
      <c r="C117" s="108">
        <f ca="1">IFERROR(__xludf.DUMMYFUNCTION("""COMPUTED_VALUE"""),3)</f>
        <v>3</v>
      </c>
    </row>
    <row r="118" spans="1:3" ht="14.25" customHeight="1" x14ac:dyDescent="0.25">
      <c r="A118" s="108" t="str">
        <f ca="1">IFERROR(__xludf.DUMMYFUNCTION("""COMPUTED_VALUE"""),"135K")</f>
        <v>135K</v>
      </c>
      <c r="B118" s="108" t="str">
        <f ca="1">IFERROR(__xludf.DUMMYFUNCTION("""COMPUTED_VALUE"""),"N.A.")</f>
        <v>N.A.</v>
      </c>
      <c r="C118" s="108" t="str">
        <f ca="1">IFERROR(__xludf.DUMMYFUNCTION("""COMPUTED_VALUE"""),"N.A.")</f>
        <v>N.A.</v>
      </c>
    </row>
    <row r="119" spans="1:3" ht="14.25" customHeight="1" x14ac:dyDescent="0.25">
      <c r="A119" s="108" t="str">
        <f ca="1">IFERROR(__xludf.DUMMYFUNCTION("""COMPUTED_VALUE"""),"136K")</f>
        <v>136K</v>
      </c>
      <c r="B119" s="108">
        <f ca="1">IFERROR(__xludf.DUMMYFUNCTION("""COMPUTED_VALUE"""),83)</f>
        <v>83</v>
      </c>
      <c r="C119" s="108">
        <f ca="1">IFERROR(__xludf.DUMMYFUNCTION("""COMPUTED_VALUE"""),1)</f>
        <v>1</v>
      </c>
    </row>
    <row r="120" spans="1:3" ht="14.25" customHeight="1" x14ac:dyDescent="0.25">
      <c r="A120" s="108" t="str">
        <f ca="1">IFERROR(__xludf.DUMMYFUNCTION("""COMPUTED_VALUE"""),"137K")</f>
        <v>137K</v>
      </c>
      <c r="B120" s="108" t="str">
        <f ca="1">IFERROR(__xludf.DUMMYFUNCTION("""COMPUTED_VALUE"""),"N.A.")</f>
        <v>N.A.</v>
      </c>
      <c r="C120" s="108" t="str">
        <f ca="1">IFERROR(__xludf.DUMMYFUNCTION("""COMPUTED_VALUE"""),"N.A.")</f>
        <v>N.A.</v>
      </c>
    </row>
    <row r="121" spans="1:3" ht="14.25" customHeight="1" x14ac:dyDescent="0.25">
      <c r="A121" s="108" t="str">
        <f ca="1">IFERROR(__xludf.DUMMYFUNCTION("""COMPUTED_VALUE"""),"140K")</f>
        <v>140K</v>
      </c>
      <c r="B121" s="108">
        <f ca="1">IFERROR(__xludf.DUMMYFUNCTION("""COMPUTED_VALUE"""),63)</f>
        <v>63</v>
      </c>
      <c r="C121" s="108">
        <f ca="1">IFERROR(__xludf.DUMMYFUNCTION("""COMPUTED_VALUE"""),6)</f>
        <v>6</v>
      </c>
    </row>
    <row r="122" spans="1:3" ht="14.25" customHeight="1" x14ac:dyDescent="0.25">
      <c r="A122" s="108" t="str">
        <f ca="1">IFERROR(__xludf.DUMMYFUNCTION("""COMPUTED_VALUE"""),"141K")</f>
        <v>141K</v>
      </c>
      <c r="B122" s="108" t="str">
        <f ca="1">IFERROR(__xludf.DUMMYFUNCTION("""COMPUTED_VALUE"""),"N.A.")</f>
        <v>N.A.</v>
      </c>
      <c r="C122" s="108">
        <f ca="1">IFERROR(__xludf.DUMMYFUNCTION("""COMPUTED_VALUE"""),0)</f>
        <v>0</v>
      </c>
    </row>
    <row r="123" spans="1:3" ht="14.25" customHeight="1" x14ac:dyDescent="0.25">
      <c r="A123" s="108" t="str">
        <f ca="1">IFERROR(__xludf.DUMMYFUNCTION("""COMPUTED_VALUE"""),"142P")</f>
        <v>142P</v>
      </c>
      <c r="B123" s="108">
        <f ca="1">IFERROR(__xludf.DUMMYFUNCTION("""COMPUTED_VALUE"""),5)</f>
        <v>5</v>
      </c>
      <c r="C123" s="108">
        <f ca="1">IFERROR(__xludf.DUMMYFUNCTION("""COMPUTED_VALUE"""),10)</f>
        <v>10</v>
      </c>
    </row>
    <row r="124" spans="1:3" ht="14.25" customHeight="1" x14ac:dyDescent="0.25">
      <c r="A124" s="108" t="str">
        <f ca="1">IFERROR(__xludf.DUMMYFUNCTION("""COMPUTED_VALUE"""),"143P")</f>
        <v>143P</v>
      </c>
      <c r="B124" s="108">
        <f ca="1">IFERROR(__xludf.DUMMYFUNCTION("""COMPUTED_VALUE"""),72)</f>
        <v>72</v>
      </c>
      <c r="C124" s="108">
        <f ca="1">IFERROR(__xludf.DUMMYFUNCTION("""COMPUTED_VALUE"""),10)</f>
        <v>10</v>
      </c>
    </row>
    <row r="125" spans="1:3" ht="14.25" customHeight="1" x14ac:dyDescent="0.25">
      <c r="A125" s="108" t="str">
        <f ca="1">IFERROR(__xludf.DUMMYFUNCTION("""COMPUTED_VALUE"""),"144P")</f>
        <v>144P</v>
      </c>
      <c r="B125" s="108">
        <f ca="1">IFERROR(__xludf.DUMMYFUNCTION("""COMPUTED_VALUE"""),95)</f>
        <v>95</v>
      </c>
      <c r="C125" s="108">
        <f ca="1">IFERROR(__xludf.DUMMYFUNCTION("""COMPUTED_VALUE"""),7)</f>
        <v>7</v>
      </c>
    </row>
    <row r="126" spans="1:3" ht="14.25" customHeight="1" x14ac:dyDescent="0.25">
      <c r="A126" s="108" t="str">
        <f ca="1">IFERROR(__xludf.DUMMYFUNCTION("""COMPUTED_VALUE"""),"145K")</f>
        <v>145K</v>
      </c>
      <c r="B126" s="108">
        <f ca="1">IFERROR(__xludf.DUMMYFUNCTION("""COMPUTED_VALUE"""),95)</f>
        <v>95</v>
      </c>
      <c r="C126" s="108">
        <f ca="1">IFERROR(__xludf.DUMMYFUNCTION("""COMPUTED_VALUE"""),5)</f>
        <v>5</v>
      </c>
    </row>
    <row r="127" spans="1:3" ht="14.25" customHeight="1" x14ac:dyDescent="0.25">
      <c r="A127" s="108" t="str">
        <f ca="1">IFERROR(__xludf.DUMMYFUNCTION("""COMPUTED_VALUE"""),"146K")</f>
        <v>146K</v>
      </c>
      <c r="B127" s="108">
        <f ca="1">IFERROR(__xludf.DUMMYFUNCTION("""COMPUTED_VALUE"""),18)</f>
        <v>18</v>
      </c>
      <c r="C127" s="108">
        <f ca="1">IFERROR(__xludf.DUMMYFUNCTION("""COMPUTED_VALUE"""),0)</f>
        <v>0</v>
      </c>
    </row>
    <row r="128" spans="1:3" ht="14.25" customHeight="1" x14ac:dyDescent="0.25">
      <c r="A128" s="108" t="str">
        <f ca="1">IFERROR(__xludf.DUMMYFUNCTION("""COMPUTED_VALUE"""),"147K")</f>
        <v>147K</v>
      </c>
      <c r="B128" s="108" t="str">
        <f ca="1">IFERROR(__xludf.DUMMYFUNCTION("""COMPUTED_VALUE"""),"N.A.")</f>
        <v>N.A.</v>
      </c>
      <c r="C128" s="108">
        <f ca="1">IFERROR(__xludf.DUMMYFUNCTION("""COMPUTED_VALUE"""),0)</f>
        <v>0</v>
      </c>
    </row>
    <row r="129" spans="1:3" ht="14.25" customHeight="1" x14ac:dyDescent="0.25">
      <c r="A129" s="108" t="str">
        <f ca="1">IFERROR(__xludf.DUMMYFUNCTION("""COMPUTED_VALUE"""),"149P")</f>
        <v>149P</v>
      </c>
      <c r="B129" s="108">
        <f ca="1">IFERROR(__xludf.DUMMYFUNCTION("""COMPUTED_VALUE"""),90)</f>
        <v>90</v>
      </c>
      <c r="C129" s="108">
        <f ca="1">IFERROR(__xludf.DUMMYFUNCTION("""COMPUTED_VALUE"""),2)</f>
        <v>2</v>
      </c>
    </row>
    <row r="130" spans="1:3" ht="14.25" customHeight="1" x14ac:dyDescent="0.25">
      <c r="A130" s="108" t="str">
        <f ca="1">IFERROR(__xludf.DUMMYFUNCTION("""COMPUTED_VALUE"""),"150K")</f>
        <v>150K</v>
      </c>
      <c r="B130" s="108" t="str">
        <f ca="1">IFERROR(__xludf.DUMMYFUNCTION("""COMPUTED_VALUE"""),"N.A.")</f>
        <v>N.A.</v>
      </c>
      <c r="C130" s="108" t="str">
        <f ca="1">IFERROR(__xludf.DUMMYFUNCTION("""COMPUTED_VALUE"""),"N.A.")</f>
        <v>N.A.</v>
      </c>
    </row>
    <row r="131" spans="1:3" ht="14.25" customHeight="1" x14ac:dyDescent="0.25">
      <c r="A131" s="108" t="str">
        <f ca="1">IFERROR(__xludf.DUMMYFUNCTION("""COMPUTED_VALUE"""),"151P")</f>
        <v>151P</v>
      </c>
      <c r="B131" s="108">
        <f ca="1">IFERROR(__xludf.DUMMYFUNCTION("""COMPUTED_VALUE"""),54)</f>
        <v>54</v>
      </c>
      <c r="C131" s="108">
        <f ca="1">IFERROR(__xludf.DUMMYFUNCTION("""COMPUTED_VALUE"""),38)</f>
        <v>38</v>
      </c>
    </row>
    <row r="132" spans="1:3" ht="14.25" customHeight="1" x14ac:dyDescent="0.25">
      <c r="A132" s="108" t="str">
        <f ca="1">IFERROR(__xludf.DUMMYFUNCTION("""COMPUTED_VALUE"""),"152P")</f>
        <v>152P</v>
      </c>
      <c r="B132" s="108">
        <f ca="1">IFERROR(__xludf.DUMMYFUNCTION("""COMPUTED_VALUE"""),66)</f>
        <v>66</v>
      </c>
      <c r="C132" s="108">
        <f ca="1">IFERROR(__xludf.DUMMYFUNCTION("""COMPUTED_VALUE"""),1)</f>
        <v>1</v>
      </c>
    </row>
    <row r="133" spans="1:3" ht="14.25" customHeight="1" x14ac:dyDescent="0.25">
      <c r="A133" s="108" t="str">
        <f ca="1">IFERROR(__xludf.DUMMYFUNCTION("""COMPUTED_VALUE"""),"153K")</f>
        <v>153K</v>
      </c>
      <c r="B133" s="108" t="str">
        <f ca="1">IFERROR(__xludf.DUMMYFUNCTION("""COMPUTED_VALUE"""),"N.A.")</f>
        <v>N.A.</v>
      </c>
      <c r="C133" s="108" t="str">
        <f ca="1">IFERROR(__xludf.DUMMYFUNCTION("""COMPUTED_VALUE"""),"N.A.")</f>
        <v>N.A.</v>
      </c>
    </row>
    <row r="134" spans="1:3" ht="14.25" customHeight="1" x14ac:dyDescent="0.25">
      <c r="A134" s="108" t="str">
        <f ca="1">IFERROR(__xludf.DUMMYFUNCTION("""COMPUTED_VALUE"""),"154K")</f>
        <v>154K</v>
      </c>
      <c r="B134" s="108">
        <f ca="1">IFERROR(__xludf.DUMMYFUNCTION("""COMPUTED_VALUE"""),81)</f>
        <v>81</v>
      </c>
      <c r="C134" s="108">
        <f ca="1">IFERROR(__xludf.DUMMYFUNCTION("""COMPUTED_VALUE"""),0)</f>
        <v>0</v>
      </c>
    </row>
    <row r="135" spans="1:3" ht="14.25" customHeight="1" x14ac:dyDescent="0.25">
      <c r="A135" s="108" t="str">
        <f ca="1">IFERROR(__xludf.DUMMYFUNCTION("""COMPUTED_VALUE"""),"155P")</f>
        <v>155P</v>
      </c>
      <c r="B135" s="108">
        <f ca="1">IFERROR(__xludf.DUMMYFUNCTION("""COMPUTED_VALUE"""),90)</f>
        <v>90</v>
      </c>
      <c r="C135" s="108">
        <f ca="1">IFERROR(__xludf.DUMMYFUNCTION("""COMPUTED_VALUE"""),1)</f>
        <v>1</v>
      </c>
    </row>
    <row r="136" spans="1:3" ht="14.25" customHeight="1" x14ac:dyDescent="0.25">
      <c r="A136" s="108" t="str">
        <f ca="1">IFERROR(__xludf.DUMMYFUNCTION("""COMPUTED_VALUE"""),"156K")</f>
        <v>156K</v>
      </c>
      <c r="B136" s="108">
        <f ca="1">IFERROR(__xludf.DUMMYFUNCTION("""COMPUTED_VALUE"""),51)</f>
        <v>51</v>
      </c>
      <c r="C136" s="108">
        <f ca="1">IFERROR(__xludf.DUMMYFUNCTION("""COMPUTED_VALUE"""),2)</f>
        <v>2</v>
      </c>
    </row>
    <row r="137" spans="1:3" ht="14.25" customHeight="1" x14ac:dyDescent="0.25">
      <c r="A137" s="108" t="str">
        <f ca="1">IFERROR(__xludf.DUMMYFUNCTION("""COMPUTED_VALUE"""),"157P")</f>
        <v>157P</v>
      </c>
      <c r="B137" s="108">
        <f ca="1">IFERROR(__xludf.DUMMYFUNCTION("""COMPUTED_VALUE"""),79)</f>
        <v>79</v>
      </c>
      <c r="C137" s="108">
        <f ca="1">IFERROR(__xludf.DUMMYFUNCTION("""COMPUTED_VALUE"""),0)</f>
        <v>0</v>
      </c>
    </row>
    <row r="138" spans="1:3" ht="14.25" customHeight="1" x14ac:dyDescent="0.25">
      <c r="A138" s="108" t="str">
        <f ca="1">IFERROR(__xludf.DUMMYFUNCTION("""COMPUTED_VALUE"""),"158K")</f>
        <v>158K</v>
      </c>
      <c r="B138" s="108" t="str">
        <f ca="1">IFERROR(__xludf.DUMMYFUNCTION("""COMPUTED_VALUE"""),"N.A.")</f>
        <v>N.A.</v>
      </c>
      <c r="C138" s="108">
        <f ca="1">IFERROR(__xludf.DUMMYFUNCTION("""COMPUTED_VALUE"""),0)</f>
        <v>0</v>
      </c>
    </row>
    <row r="139" spans="1:3" ht="14.25" customHeight="1" x14ac:dyDescent="0.25">
      <c r="A139" s="108" t="str">
        <f ca="1">IFERROR(__xludf.DUMMYFUNCTION("""COMPUTED_VALUE"""),"159P")</f>
        <v>159P</v>
      </c>
      <c r="B139" s="108" t="str">
        <f ca="1">IFERROR(__xludf.DUMMYFUNCTION("""COMPUTED_VALUE"""),"N.A.")</f>
        <v>N.A.</v>
      </c>
      <c r="C139" s="108">
        <f ca="1">IFERROR(__xludf.DUMMYFUNCTION("""COMPUTED_VALUE"""),0)</f>
        <v>0</v>
      </c>
    </row>
    <row r="140" spans="1:3" ht="14.25" customHeight="1" x14ac:dyDescent="0.25">
      <c r="A140" s="108" t="str">
        <f ca="1">IFERROR(__xludf.DUMMYFUNCTION("""COMPUTED_VALUE"""),"162P")</f>
        <v>162P</v>
      </c>
      <c r="B140" s="108" t="str">
        <f ca="1">IFERROR(__xludf.DUMMYFUNCTION("""COMPUTED_VALUE"""),"N.A.")</f>
        <v>N.A.</v>
      </c>
      <c r="C140" s="108">
        <f ca="1">IFERROR(__xludf.DUMMYFUNCTION("""COMPUTED_VALUE"""),0)</f>
        <v>0</v>
      </c>
    </row>
    <row r="141" spans="1:3" ht="14.25" customHeight="1" x14ac:dyDescent="0.25">
      <c r="A141" s="108" t="str">
        <f ca="1">IFERROR(__xludf.DUMMYFUNCTION("""COMPUTED_VALUE"""),"164K")</f>
        <v>164K</v>
      </c>
      <c r="B141" s="108" t="str">
        <f ca="1">IFERROR(__xludf.DUMMYFUNCTION("""COMPUTED_VALUE"""),"N.A.")</f>
        <v>N.A.</v>
      </c>
      <c r="C141" s="108">
        <f ca="1">IFERROR(__xludf.DUMMYFUNCTION("""COMPUTED_VALUE"""),0)</f>
        <v>0</v>
      </c>
    </row>
    <row r="142" spans="1:3" ht="14.25" customHeight="1" x14ac:dyDescent="0.25">
      <c r="A142" s="108" t="str">
        <f ca="1">IFERROR(__xludf.DUMMYFUNCTION("""COMPUTED_VALUE"""),"165K")</f>
        <v>165K</v>
      </c>
      <c r="B142" s="108">
        <f ca="1">IFERROR(__xludf.DUMMYFUNCTION("""COMPUTED_VALUE"""),96)</f>
        <v>96</v>
      </c>
      <c r="C142" s="108">
        <f ca="1">IFERROR(__xludf.DUMMYFUNCTION("""COMPUTED_VALUE"""),2)</f>
        <v>2</v>
      </c>
    </row>
    <row r="143" spans="1:3" ht="14.25" customHeight="1" x14ac:dyDescent="0.25">
      <c r="A143" s="108" t="str">
        <f ca="1">IFERROR(__xludf.DUMMYFUNCTION("""COMPUTED_VALUE"""),"167K")</f>
        <v>167K</v>
      </c>
      <c r="B143" s="108">
        <f ca="1">IFERROR(__xludf.DUMMYFUNCTION("""COMPUTED_VALUE"""),85)</f>
        <v>85</v>
      </c>
      <c r="C143" s="108">
        <f ca="1">IFERROR(__xludf.DUMMYFUNCTION("""COMPUTED_VALUE"""),12)</f>
        <v>12</v>
      </c>
    </row>
    <row r="144" spans="1:3" ht="14.25" customHeight="1" x14ac:dyDescent="0.25">
      <c r="A144" s="108" t="str">
        <f ca="1">IFERROR(__xludf.DUMMYFUNCTION("""COMPUTED_VALUE"""),"169P")</f>
        <v>169P</v>
      </c>
      <c r="B144" s="108">
        <f ca="1">IFERROR(__xludf.DUMMYFUNCTION("""COMPUTED_VALUE"""),77)</f>
        <v>77</v>
      </c>
      <c r="C144" s="108">
        <f ca="1">IFERROR(__xludf.DUMMYFUNCTION("""COMPUTED_VALUE"""),2)</f>
        <v>2</v>
      </c>
    </row>
    <row r="145" spans="1:3" ht="14.25" customHeight="1" x14ac:dyDescent="0.25">
      <c r="A145" s="108" t="str">
        <f ca="1">IFERROR(__xludf.DUMMYFUNCTION("""COMPUTED_VALUE"""),"170K")</f>
        <v>170K</v>
      </c>
      <c r="B145" s="108">
        <f ca="1">IFERROR(__xludf.DUMMYFUNCTION("""COMPUTED_VALUE"""),68)</f>
        <v>68</v>
      </c>
      <c r="C145" s="108">
        <f ca="1">IFERROR(__xludf.DUMMYFUNCTION("""COMPUTED_VALUE"""),4)</f>
        <v>4</v>
      </c>
    </row>
    <row r="146" spans="1:3" ht="14.25" customHeight="1" x14ac:dyDescent="0.25">
      <c r="A146" s="108" t="str">
        <f ca="1">IFERROR(__xludf.DUMMYFUNCTION("""COMPUTED_VALUE"""),"173P")</f>
        <v>173P</v>
      </c>
      <c r="B146" s="108">
        <f ca="1">IFERROR(__xludf.DUMMYFUNCTION("""COMPUTED_VALUE"""),73)</f>
        <v>73</v>
      </c>
      <c r="C146" s="108">
        <f ca="1">IFERROR(__xludf.DUMMYFUNCTION("""COMPUTED_VALUE"""),4)</f>
        <v>4</v>
      </c>
    </row>
    <row r="147" spans="1:3" ht="14.25" customHeight="1" x14ac:dyDescent="0.25">
      <c r="A147" s="108" t="str">
        <f ca="1">IFERROR(__xludf.DUMMYFUNCTION("""COMPUTED_VALUE"""),"174P")</f>
        <v>174P</v>
      </c>
      <c r="B147" s="108">
        <f ca="1">IFERROR(__xludf.DUMMYFUNCTION("""COMPUTED_VALUE"""),81)</f>
        <v>81</v>
      </c>
      <c r="C147" s="108">
        <f ca="1">IFERROR(__xludf.DUMMYFUNCTION("""COMPUTED_VALUE"""),3)</f>
        <v>3</v>
      </c>
    </row>
    <row r="148" spans="1:3" ht="14.25" customHeight="1" x14ac:dyDescent="0.25">
      <c r="A148" s="108" t="str">
        <f ca="1">IFERROR(__xludf.DUMMYFUNCTION("""COMPUTED_VALUE"""),"175K")</f>
        <v>175K</v>
      </c>
      <c r="B148" s="108" t="str">
        <f ca="1">IFERROR(__xludf.DUMMYFUNCTION("""COMPUTED_VALUE"""),"N.A.")</f>
        <v>N.A.</v>
      </c>
      <c r="C148" s="108" t="str">
        <f ca="1">IFERROR(__xludf.DUMMYFUNCTION("""COMPUTED_VALUE"""),"N.A.")</f>
        <v>N.A.</v>
      </c>
    </row>
    <row r="149" spans="1:3" ht="14.25" customHeight="1" x14ac:dyDescent="0.25">
      <c r="A149" s="108" t="str">
        <f ca="1">IFERROR(__xludf.DUMMYFUNCTION("""COMPUTED_VALUE"""),"176K")</f>
        <v>176K</v>
      </c>
      <c r="B149" s="108" t="str">
        <f ca="1">IFERROR(__xludf.DUMMYFUNCTION("""COMPUTED_VALUE"""),"N.A.")</f>
        <v>N.A.</v>
      </c>
      <c r="C149" s="108" t="str">
        <f ca="1">IFERROR(__xludf.DUMMYFUNCTION("""COMPUTED_VALUE"""),"N.A.")</f>
        <v>N.A.</v>
      </c>
    </row>
    <row r="150" spans="1:3" ht="14.25" customHeight="1" x14ac:dyDescent="0.25">
      <c r="A150" s="108" t="str">
        <f ca="1">IFERROR(__xludf.DUMMYFUNCTION("""COMPUTED_VALUE"""),"177P")</f>
        <v>177P</v>
      </c>
      <c r="B150" s="108">
        <f ca="1">IFERROR(__xludf.DUMMYFUNCTION("""COMPUTED_VALUE"""),74)</f>
        <v>74</v>
      </c>
      <c r="C150" s="108">
        <f ca="1">IFERROR(__xludf.DUMMYFUNCTION("""COMPUTED_VALUE"""),16)</f>
        <v>16</v>
      </c>
    </row>
    <row r="151" spans="1:3" ht="14.25" customHeight="1" x14ac:dyDescent="0.25">
      <c r="A151" s="108" t="str">
        <f ca="1">IFERROR(__xludf.DUMMYFUNCTION("""COMPUTED_VALUE"""),"178K")</f>
        <v>178K</v>
      </c>
      <c r="B151" s="108">
        <f ca="1">IFERROR(__xludf.DUMMYFUNCTION("""COMPUTED_VALUE"""),87)</f>
        <v>87</v>
      </c>
      <c r="C151" s="108">
        <f ca="1">IFERROR(__xludf.DUMMYFUNCTION("""COMPUTED_VALUE"""),5)</f>
        <v>5</v>
      </c>
    </row>
    <row r="152" spans="1:3" ht="14.25" customHeight="1" x14ac:dyDescent="0.25">
      <c r="A152" s="108" t="str">
        <f ca="1">IFERROR(__xludf.DUMMYFUNCTION("""COMPUTED_VALUE"""),"179P")</f>
        <v>179P</v>
      </c>
      <c r="B152" s="108" t="str">
        <f ca="1">IFERROR(__xludf.DUMMYFUNCTION("""COMPUTED_VALUE"""),"N.A.")</f>
        <v>N.A.</v>
      </c>
      <c r="C152" s="108" t="str">
        <f ca="1">IFERROR(__xludf.DUMMYFUNCTION("""COMPUTED_VALUE"""),"N.A.")</f>
        <v>N.A.</v>
      </c>
    </row>
    <row r="153" spans="1:3" ht="14.25" customHeight="1" x14ac:dyDescent="0.25">
      <c r="A153" s="108" t="str">
        <f ca="1">IFERROR(__xludf.DUMMYFUNCTION("""COMPUTED_VALUE"""),"180P")</f>
        <v>180P</v>
      </c>
      <c r="B153" s="108" t="str">
        <f ca="1">IFERROR(__xludf.DUMMYFUNCTION("""COMPUTED_VALUE"""),"N.A.")</f>
        <v>N.A.</v>
      </c>
      <c r="C153" s="108" t="str">
        <f ca="1">IFERROR(__xludf.DUMMYFUNCTION("""COMPUTED_VALUE"""),"N.A.")</f>
        <v>N.A.</v>
      </c>
    </row>
    <row r="154" spans="1:3" ht="14.25" customHeight="1" x14ac:dyDescent="0.25">
      <c r="A154" s="108" t="str">
        <f ca="1">IFERROR(__xludf.DUMMYFUNCTION("""COMPUTED_VALUE"""),"182K")</f>
        <v>182K</v>
      </c>
      <c r="B154" s="108">
        <f ca="1">IFERROR(__xludf.DUMMYFUNCTION("""COMPUTED_VALUE"""),49)</f>
        <v>49</v>
      </c>
      <c r="C154" s="108">
        <f ca="1">IFERROR(__xludf.DUMMYFUNCTION("""COMPUTED_VALUE"""),1)</f>
        <v>1</v>
      </c>
    </row>
    <row r="155" spans="1:3" ht="14.25" customHeight="1" x14ac:dyDescent="0.25">
      <c r="A155" s="108" t="str">
        <f ca="1">IFERROR(__xludf.DUMMYFUNCTION("""COMPUTED_VALUE"""),"183K")</f>
        <v>183K</v>
      </c>
      <c r="B155" s="108">
        <f ca="1">IFERROR(__xludf.DUMMYFUNCTION("""COMPUTED_VALUE"""),47)</f>
        <v>47</v>
      </c>
      <c r="C155" s="108">
        <f ca="1">IFERROR(__xludf.DUMMYFUNCTION("""COMPUTED_VALUE"""),15)</f>
        <v>15</v>
      </c>
    </row>
    <row r="156" spans="1:3" ht="14.25" customHeight="1" x14ac:dyDescent="0.25">
      <c r="A156" s="108" t="str">
        <f ca="1">IFERROR(__xludf.DUMMYFUNCTION("""COMPUTED_VALUE"""),"184P")</f>
        <v>184P</v>
      </c>
      <c r="B156" s="108">
        <f ca="1">IFERROR(__xludf.DUMMYFUNCTION("""COMPUTED_VALUE"""),75)</f>
        <v>75</v>
      </c>
      <c r="C156" s="108">
        <f ca="1">IFERROR(__xludf.DUMMYFUNCTION("""COMPUTED_VALUE"""),0)</f>
        <v>0</v>
      </c>
    </row>
    <row r="157" spans="1:3" ht="14.25" customHeight="1" x14ac:dyDescent="0.25">
      <c r="A157" s="108" t="str">
        <f ca="1">IFERROR(__xludf.DUMMYFUNCTION("""COMPUTED_VALUE"""),"185P")</f>
        <v>185P</v>
      </c>
      <c r="B157" s="108" t="str">
        <f ca="1">IFERROR(__xludf.DUMMYFUNCTION("""COMPUTED_VALUE"""),"N.A.")</f>
        <v>N.A.</v>
      </c>
      <c r="C157" s="108" t="str">
        <f ca="1">IFERROR(__xludf.DUMMYFUNCTION("""COMPUTED_VALUE"""),"N.A.")</f>
        <v>N.A.</v>
      </c>
    </row>
    <row r="158" spans="1:3" ht="14.25" customHeight="1" x14ac:dyDescent="0.25">
      <c r="A158" s="108" t="str">
        <f ca="1">IFERROR(__xludf.DUMMYFUNCTION("""COMPUTED_VALUE"""),"187K")</f>
        <v>187K</v>
      </c>
      <c r="B158" s="108">
        <f ca="1">IFERROR(__xludf.DUMMYFUNCTION("""COMPUTED_VALUE"""),109)</f>
        <v>109</v>
      </c>
      <c r="C158" s="108">
        <f ca="1">IFERROR(__xludf.DUMMYFUNCTION("""COMPUTED_VALUE"""),6)</f>
        <v>6</v>
      </c>
    </row>
    <row r="159" spans="1:3" ht="14.25" customHeight="1" x14ac:dyDescent="0.25">
      <c r="A159" s="108" t="str">
        <f ca="1">IFERROR(__xludf.DUMMYFUNCTION("""COMPUTED_VALUE"""),"188K")</f>
        <v>188K</v>
      </c>
      <c r="B159" s="108">
        <f ca="1">IFERROR(__xludf.DUMMYFUNCTION("""COMPUTED_VALUE"""),49)</f>
        <v>49</v>
      </c>
      <c r="C159" s="108">
        <f ca="1">IFERROR(__xludf.DUMMYFUNCTION("""COMPUTED_VALUE"""),3)</f>
        <v>3</v>
      </c>
    </row>
    <row r="160" spans="1:3" ht="14.25" customHeight="1" x14ac:dyDescent="0.25">
      <c r="A160" s="108" t="str">
        <f ca="1">IFERROR(__xludf.DUMMYFUNCTION("""COMPUTED_VALUE"""),"189P")</f>
        <v>189P</v>
      </c>
      <c r="B160" s="108">
        <f ca="1">IFERROR(__xludf.DUMMYFUNCTION("""COMPUTED_VALUE"""),101)</f>
        <v>101</v>
      </c>
      <c r="C160" s="108">
        <f ca="1">IFERROR(__xludf.DUMMYFUNCTION("""COMPUTED_VALUE"""),1)</f>
        <v>1</v>
      </c>
    </row>
    <row r="161" spans="1:3" ht="14.25" customHeight="1" x14ac:dyDescent="0.25">
      <c r="A161" s="108" t="str">
        <f ca="1">IFERROR(__xludf.DUMMYFUNCTION("""COMPUTED_VALUE"""),"190K")</f>
        <v>190K</v>
      </c>
      <c r="B161" s="108" t="str">
        <f ca="1">IFERROR(__xludf.DUMMYFUNCTION("""COMPUTED_VALUE"""),"N.A.")</f>
        <v>N.A.</v>
      </c>
      <c r="C161" s="108" t="str">
        <f ca="1">IFERROR(__xludf.DUMMYFUNCTION("""COMPUTED_VALUE"""),"N.A.")</f>
        <v>N.A.</v>
      </c>
    </row>
    <row r="162" spans="1:3" ht="14.25" customHeight="1" x14ac:dyDescent="0.25">
      <c r="A162" s="108" t="str">
        <f ca="1">IFERROR(__xludf.DUMMYFUNCTION("""COMPUTED_VALUE"""),"191K")</f>
        <v>191K</v>
      </c>
      <c r="B162" s="108">
        <f ca="1">IFERROR(__xludf.DUMMYFUNCTION("""COMPUTED_VALUE"""),67)</f>
        <v>67</v>
      </c>
      <c r="C162" s="108">
        <f ca="1">IFERROR(__xludf.DUMMYFUNCTION("""COMPUTED_VALUE"""),3)</f>
        <v>3</v>
      </c>
    </row>
    <row r="163" spans="1:3" ht="14.25" customHeight="1" x14ac:dyDescent="0.25">
      <c r="A163" s="108" t="str">
        <f ca="1">IFERROR(__xludf.DUMMYFUNCTION("""COMPUTED_VALUE"""),"192K")</f>
        <v>192K</v>
      </c>
      <c r="B163" s="108">
        <f ca="1">IFERROR(__xludf.DUMMYFUNCTION("""COMPUTED_VALUE"""),88)</f>
        <v>88</v>
      </c>
      <c r="C163" s="108">
        <f ca="1">IFERROR(__xludf.DUMMYFUNCTION("""COMPUTED_VALUE"""),7)</f>
        <v>7</v>
      </c>
    </row>
    <row r="164" spans="1:3" ht="14.25" customHeight="1" x14ac:dyDescent="0.25">
      <c r="A164" s="108" t="str">
        <f ca="1">IFERROR(__xludf.DUMMYFUNCTION("""COMPUTED_VALUE"""),"194P")</f>
        <v>194P</v>
      </c>
      <c r="B164" s="108">
        <f ca="1">IFERROR(__xludf.DUMMYFUNCTION("""COMPUTED_VALUE"""),110)</f>
        <v>110</v>
      </c>
      <c r="C164" s="108">
        <f ca="1">IFERROR(__xludf.DUMMYFUNCTION("""COMPUTED_VALUE"""),1)</f>
        <v>1</v>
      </c>
    </row>
    <row r="165" spans="1:3" ht="14.25" customHeight="1" x14ac:dyDescent="0.25">
      <c r="A165" s="108" t="str">
        <f ca="1">IFERROR(__xludf.DUMMYFUNCTION("""COMPUTED_VALUE"""),"195K")</f>
        <v>195K</v>
      </c>
      <c r="B165" s="108">
        <f ca="1">IFERROR(__xludf.DUMMYFUNCTION("""COMPUTED_VALUE"""),61)</f>
        <v>61</v>
      </c>
      <c r="C165" s="108">
        <f ca="1">IFERROR(__xludf.DUMMYFUNCTION("""COMPUTED_VALUE"""),2)</f>
        <v>2</v>
      </c>
    </row>
    <row r="166" spans="1:3" ht="14.25" customHeight="1" x14ac:dyDescent="0.25">
      <c r="A166" s="108" t="str">
        <f ca="1">IFERROR(__xludf.DUMMYFUNCTION("""COMPUTED_VALUE"""),"196K")</f>
        <v>196K</v>
      </c>
      <c r="B166" s="108">
        <f ca="1">IFERROR(__xludf.DUMMYFUNCTION("""COMPUTED_VALUE"""),98)</f>
        <v>98</v>
      </c>
      <c r="C166" s="108">
        <f ca="1">IFERROR(__xludf.DUMMYFUNCTION("""COMPUTED_VALUE"""),5)</f>
        <v>5</v>
      </c>
    </row>
    <row r="167" spans="1:3" ht="14.25" customHeight="1" x14ac:dyDescent="0.25">
      <c r="A167" s="108" t="str">
        <f ca="1">IFERROR(__xludf.DUMMYFUNCTION("""COMPUTED_VALUE"""),"197P")</f>
        <v>197P</v>
      </c>
      <c r="B167" s="108">
        <f ca="1">IFERROR(__xludf.DUMMYFUNCTION("""COMPUTED_VALUE"""),56)</f>
        <v>56</v>
      </c>
      <c r="C167" s="108">
        <f ca="1">IFERROR(__xludf.DUMMYFUNCTION("""COMPUTED_VALUE"""),11)</f>
        <v>11</v>
      </c>
    </row>
    <row r="168" spans="1:3" ht="14.25" customHeight="1" x14ac:dyDescent="0.25">
      <c r="A168" s="108" t="str">
        <f ca="1">IFERROR(__xludf.DUMMYFUNCTION("""COMPUTED_VALUE"""),"198K")</f>
        <v>198K</v>
      </c>
      <c r="B168" s="108">
        <f ca="1">IFERROR(__xludf.DUMMYFUNCTION("""COMPUTED_VALUE"""),50)</f>
        <v>50</v>
      </c>
      <c r="C168" s="108">
        <f ca="1">IFERROR(__xludf.DUMMYFUNCTION("""COMPUTED_VALUE"""),4)</f>
        <v>4</v>
      </c>
    </row>
    <row r="169" spans="1:3" ht="14.25" customHeight="1" x14ac:dyDescent="0.25">
      <c r="A169" s="108" t="str">
        <f ca="1">IFERROR(__xludf.DUMMYFUNCTION("""COMPUTED_VALUE"""),"199K")</f>
        <v>199K</v>
      </c>
      <c r="B169" s="108">
        <f ca="1">IFERROR(__xludf.DUMMYFUNCTION("""COMPUTED_VALUE"""),45)</f>
        <v>45</v>
      </c>
      <c r="C169" s="108">
        <f ca="1">IFERROR(__xludf.DUMMYFUNCTION("""COMPUTED_VALUE"""),16)</f>
        <v>16</v>
      </c>
    </row>
    <row r="170" spans="1:3" ht="14.25" customHeight="1" x14ac:dyDescent="0.25">
      <c r="A170" s="108" t="str">
        <f ca="1">IFERROR(__xludf.DUMMYFUNCTION("""COMPUTED_VALUE"""),"200P")</f>
        <v>200P</v>
      </c>
      <c r="B170" s="108" t="str">
        <f ca="1">IFERROR(__xludf.DUMMYFUNCTION("""COMPUTED_VALUE"""),"N.A.")</f>
        <v>N.A.</v>
      </c>
      <c r="C170" s="108" t="str">
        <f ca="1">IFERROR(__xludf.DUMMYFUNCTION("""COMPUTED_VALUE"""),"N.A.")</f>
        <v>N.A.</v>
      </c>
    </row>
    <row r="171" spans="1:3" ht="14.25" customHeight="1" x14ac:dyDescent="0.25">
      <c r="A171" s="108" t="str">
        <f ca="1">IFERROR(__xludf.DUMMYFUNCTION("""COMPUTED_VALUE"""),"201K")</f>
        <v>201K</v>
      </c>
      <c r="B171" s="108" t="str">
        <f ca="1">IFERROR(__xludf.DUMMYFUNCTION("""COMPUTED_VALUE"""),"N.A.")</f>
        <v>N.A.</v>
      </c>
      <c r="C171" s="108" t="str">
        <f ca="1">IFERROR(__xludf.DUMMYFUNCTION("""COMPUTED_VALUE"""),"N.A.")</f>
        <v>N.A.</v>
      </c>
    </row>
    <row r="172" spans="1:3" ht="14.25" customHeight="1" x14ac:dyDescent="0.25">
      <c r="A172" s="108" t="str">
        <f ca="1">IFERROR(__xludf.DUMMYFUNCTION("""COMPUTED_VALUE"""),"203K")</f>
        <v>203K</v>
      </c>
      <c r="B172" s="108">
        <f ca="1">IFERROR(__xludf.DUMMYFUNCTION("""COMPUTED_VALUE"""),96)</f>
        <v>96</v>
      </c>
      <c r="C172" s="108">
        <f ca="1">IFERROR(__xludf.DUMMYFUNCTION("""COMPUTED_VALUE"""),2)</f>
        <v>2</v>
      </c>
    </row>
    <row r="173" spans="1:3" ht="14.25" customHeight="1" x14ac:dyDescent="0.25">
      <c r="A173" s="108" t="str">
        <f ca="1">IFERROR(__xludf.DUMMYFUNCTION("""COMPUTED_VALUE"""),"206K")</f>
        <v>206K</v>
      </c>
      <c r="B173" s="108">
        <f ca="1">IFERROR(__xludf.DUMMYFUNCTION("""COMPUTED_VALUE"""),74)</f>
        <v>74</v>
      </c>
      <c r="C173" s="108">
        <f ca="1">IFERROR(__xludf.DUMMYFUNCTION("""COMPUTED_VALUE"""),3)</f>
        <v>3</v>
      </c>
    </row>
    <row r="174" spans="1:3" ht="14.25" customHeight="1" x14ac:dyDescent="0.25">
      <c r="A174" s="108" t="str">
        <f ca="1">IFERROR(__xludf.DUMMYFUNCTION("""COMPUTED_VALUE"""),"207K")</f>
        <v>207K</v>
      </c>
      <c r="B174" s="108">
        <f ca="1">IFERROR(__xludf.DUMMYFUNCTION("""COMPUTED_VALUE"""),75)</f>
        <v>75</v>
      </c>
      <c r="C174" s="108">
        <f ca="1">IFERROR(__xludf.DUMMYFUNCTION("""COMPUTED_VALUE"""),2)</f>
        <v>2</v>
      </c>
    </row>
    <row r="175" spans="1:3" ht="14.25" customHeight="1" x14ac:dyDescent="0.25">
      <c r="A175" s="108" t="str">
        <f ca="1">IFERROR(__xludf.DUMMYFUNCTION("""COMPUTED_VALUE"""),"208K")</f>
        <v>208K</v>
      </c>
      <c r="B175" s="108">
        <f ca="1">IFERROR(__xludf.DUMMYFUNCTION("""COMPUTED_VALUE"""),72)</f>
        <v>72</v>
      </c>
      <c r="C175" s="108">
        <f ca="1">IFERROR(__xludf.DUMMYFUNCTION("""COMPUTED_VALUE"""),2)</f>
        <v>2</v>
      </c>
    </row>
    <row r="176" spans="1:3" ht="14.25" customHeight="1" x14ac:dyDescent="0.25">
      <c r="A176" s="108" t="str">
        <f ca="1">IFERROR(__xludf.DUMMYFUNCTION("""COMPUTED_VALUE"""),"209P")</f>
        <v>209P</v>
      </c>
      <c r="B176" s="108" t="str">
        <f ca="1">IFERROR(__xludf.DUMMYFUNCTION("""COMPUTED_VALUE"""),"N.A.")</f>
        <v>N.A.</v>
      </c>
      <c r="C176" s="108" t="str">
        <f ca="1">IFERROR(__xludf.DUMMYFUNCTION("""COMPUTED_VALUE"""),"N.A.")</f>
        <v>N.A.</v>
      </c>
    </row>
    <row r="177" spans="1:3" ht="14.25" customHeight="1" x14ac:dyDescent="0.25">
      <c r="A177" s="108" t="str">
        <f ca="1">IFERROR(__xludf.DUMMYFUNCTION("""COMPUTED_VALUE"""),"210K")</f>
        <v>210K</v>
      </c>
      <c r="B177" s="108">
        <f ca="1">IFERROR(__xludf.DUMMYFUNCTION("""COMPUTED_VALUE"""),65)</f>
        <v>65</v>
      </c>
      <c r="C177" s="108">
        <f ca="1">IFERROR(__xludf.DUMMYFUNCTION("""COMPUTED_VALUE"""),1)</f>
        <v>1</v>
      </c>
    </row>
    <row r="178" spans="1:3" ht="14.25" customHeight="1" x14ac:dyDescent="0.25">
      <c r="A178" s="108" t="str">
        <f ca="1">IFERROR(__xludf.DUMMYFUNCTION("""COMPUTED_VALUE"""),"211K")</f>
        <v>211K</v>
      </c>
      <c r="B178" s="108">
        <f ca="1">IFERROR(__xludf.DUMMYFUNCTION("""COMPUTED_VALUE"""),59)</f>
        <v>59</v>
      </c>
      <c r="C178" s="108">
        <f ca="1">IFERROR(__xludf.DUMMYFUNCTION("""COMPUTED_VALUE"""),0)</f>
        <v>0</v>
      </c>
    </row>
    <row r="179" spans="1:3" ht="14.25" customHeight="1" x14ac:dyDescent="0.25">
      <c r="A179" s="108" t="str">
        <f ca="1">IFERROR(__xludf.DUMMYFUNCTION("""COMPUTED_VALUE"""),"212P")</f>
        <v>212P</v>
      </c>
      <c r="B179" s="108">
        <f ca="1">IFERROR(__xludf.DUMMYFUNCTION("""COMPUTED_VALUE"""),96)</f>
        <v>96</v>
      </c>
      <c r="C179" s="108">
        <f ca="1">IFERROR(__xludf.DUMMYFUNCTION("""COMPUTED_VALUE"""),2)</f>
        <v>2</v>
      </c>
    </row>
    <row r="180" spans="1:3" ht="14.25" customHeight="1" x14ac:dyDescent="0.25">
      <c r="A180" s="108" t="str">
        <f ca="1">IFERROR(__xludf.DUMMYFUNCTION("""COMPUTED_VALUE"""),"213P")</f>
        <v>213P</v>
      </c>
      <c r="B180" s="108">
        <f ca="1">IFERROR(__xludf.DUMMYFUNCTION("""COMPUTED_VALUE"""),70)</f>
        <v>70</v>
      </c>
      <c r="C180" s="108">
        <f ca="1">IFERROR(__xludf.DUMMYFUNCTION("""COMPUTED_VALUE"""),3)</f>
        <v>3</v>
      </c>
    </row>
    <row r="181" spans="1:3" ht="14.25" customHeight="1" x14ac:dyDescent="0.25">
      <c r="A181" s="108" t="str">
        <f ca="1">IFERROR(__xludf.DUMMYFUNCTION("""COMPUTED_VALUE"""),"214K")</f>
        <v>214K</v>
      </c>
      <c r="B181" s="108">
        <f ca="1">IFERROR(__xludf.DUMMYFUNCTION("""COMPUTED_VALUE"""),98)</f>
        <v>98</v>
      </c>
      <c r="C181" s="108">
        <f ca="1">IFERROR(__xludf.DUMMYFUNCTION("""COMPUTED_VALUE"""),3)</f>
        <v>3</v>
      </c>
    </row>
    <row r="182" spans="1:3" ht="14.25" customHeight="1" x14ac:dyDescent="0.25">
      <c r="A182" s="108" t="str">
        <f ca="1">IFERROR(__xludf.DUMMYFUNCTION("""COMPUTED_VALUE"""),"215K")</f>
        <v>215K</v>
      </c>
      <c r="B182" s="108">
        <f ca="1">IFERROR(__xludf.DUMMYFUNCTION("""COMPUTED_VALUE"""),99)</f>
        <v>99</v>
      </c>
      <c r="C182" s="108">
        <f ca="1">IFERROR(__xludf.DUMMYFUNCTION("""COMPUTED_VALUE"""),1)</f>
        <v>1</v>
      </c>
    </row>
    <row r="183" spans="1:3" ht="14.25" customHeight="1" x14ac:dyDescent="0.25">
      <c r="A183" s="108" t="str">
        <f ca="1">IFERROR(__xludf.DUMMYFUNCTION("""COMPUTED_VALUE"""),"218K")</f>
        <v>218K</v>
      </c>
      <c r="B183" s="108">
        <f ca="1">IFERROR(__xludf.DUMMYFUNCTION("""COMPUTED_VALUE"""),92)</f>
        <v>92</v>
      </c>
      <c r="C183" s="108">
        <f ca="1">IFERROR(__xludf.DUMMYFUNCTION("""COMPUTED_VALUE"""),1)</f>
        <v>1</v>
      </c>
    </row>
    <row r="184" spans="1:3" ht="14.25" customHeight="1" x14ac:dyDescent="0.25">
      <c r="A184" s="108" t="str">
        <f ca="1">IFERROR(__xludf.DUMMYFUNCTION("""COMPUTED_VALUE"""),"219K")</f>
        <v>219K</v>
      </c>
      <c r="B184" s="108">
        <f ca="1">IFERROR(__xludf.DUMMYFUNCTION("""COMPUTED_VALUE"""),60)</f>
        <v>60</v>
      </c>
      <c r="C184" s="108">
        <f ca="1">IFERROR(__xludf.DUMMYFUNCTION("""COMPUTED_VALUE"""),2)</f>
        <v>2</v>
      </c>
    </row>
    <row r="185" spans="1:3" ht="14.25" customHeight="1" x14ac:dyDescent="0.25">
      <c r="A185" s="108" t="str">
        <f ca="1">IFERROR(__xludf.DUMMYFUNCTION("""COMPUTED_VALUE"""),"220K")</f>
        <v>220K</v>
      </c>
      <c r="B185" s="108">
        <f ca="1">IFERROR(__xludf.DUMMYFUNCTION("""COMPUTED_VALUE"""),79)</f>
        <v>79</v>
      </c>
      <c r="C185" s="108">
        <f ca="1">IFERROR(__xludf.DUMMYFUNCTION("""COMPUTED_VALUE"""),1)</f>
        <v>1</v>
      </c>
    </row>
    <row r="186" spans="1:3" ht="14.25" customHeight="1" x14ac:dyDescent="0.25">
      <c r="A186" s="108" t="str">
        <f ca="1">IFERROR(__xludf.DUMMYFUNCTION("""COMPUTED_VALUE"""),"223K")</f>
        <v>223K</v>
      </c>
      <c r="B186" s="108" t="str">
        <f ca="1">IFERROR(__xludf.DUMMYFUNCTION("""COMPUTED_VALUE"""),"N.A.")</f>
        <v>N.A.</v>
      </c>
      <c r="C186" s="108">
        <f ca="1">IFERROR(__xludf.DUMMYFUNCTION("""COMPUTED_VALUE"""),0)</f>
        <v>0</v>
      </c>
    </row>
    <row r="187" spans="1:3" ht="14.25" customHeight="1" x14ac:dyDescent="0.25">
      <c r="A187" s="108" t="str">
        <f ca="1">IFERROR(__xludf.DUMMYFUNCTION("""COMPUTED_VALUE"""),"227K")</f>
        <v>227K</v>
      </c>
      <c r="B187" s="108" t="str">
        <f ca="1">IFERROR(__xludf.DUMMYFUNCTION("""COMPUTED_VALUE"""),"N.A.")</f>
        <v>N.A.</v>
      </c>
      <c r="C187" s="108">
        <f ca="1">IFERROR(__xludf.DUMMYFUNCTION("""COMPUTED_VALUE"""),0)</f>
        <v>0</v>
      </c>
    </row>
    <row r="188" spans="1:3" ht="14.25" customHeight="1" x14ac:dyDescent="0.25">
      <c r="A188" s="108" t="str">
        <f ca="1">IFERROR(__xludf.DUMMYFUNCTION("""COMPUTED_VALUE"""),"228P")</f>
        <v>228P</v>
      </c>
      <c r="B188" s="108" t="str">
        <f ca="1">IFERROR(__xludf.DUMMYFUNCTION("""COMPUTED_VALUE"""),"N.A.")</f>
        <v>N.A.</v>
      </c>
      <c r="C188" s="108">
        <f ca="1">IFERROR(__xludf.DUMMYFUNCTION("""COMPUTED_VALUE"""),0)</f>
        <v>0</v>
      </c>
    </row>
    <row r="189" spans="1:3" ht="14.25" customHeight="1" x14ac:dyDescent="0.25">
      <c r="A189" s="108" t="str">
        <f ca="1">IFERROR(__xludf.DUMMYFUNCTION("""COMPUTED_VALUE"""),"229K")</f>
        <v>229K</v>
      </c>
      <c r="B189" s="108" t="str">
        <f ca="1">IFERROR(__xludf.DUMMYFUNCTION("""COMPUTED_VALUE"""),"N.A.")</f>
        <v>N.A.</v>
      </c>
      <c r="C189" s="108">
        <f ca="1">IFERROR(__xludf.DUMMYFUNCTION("""COMPUTED_VALUE"""),0)</f>
        <v>0</v>
      </c>
    </row>
    <row r="190" spans="1:3" ht="14.25" customHeight="1" x14ac:dyDescent="0.25">
      <c r="A190" s="108" t="str">
        <f ca="1">IFERROR(__xludf.DUMMYFUNCTION("""COMPUTED_VALUE"""),"230K")</f>
        <v>230K</v>
      </c>
      <c r="B190" s="108" t="str">
        <f ca="1">IFERROR(__xludf.DUMMYFUNCTION("""COMPUTED_VALUE"""),"N.A.")</f>
        <v>N.A.</v>
      </c>
      <c r="C190" s="108">
        <f ca="1">IFERROR(__xludf.DUMMYFUNCTION("""COMPUTED_VALUE"""),0)</f>
        <v>0</v>
      </c>
    </row>
    <row r="191" spans="1:3" ht="14.25" customHeight="1" x14ac:dyDescent="0.25">
      <c r="A191" s="108" t="str">
        <f ca="1">IFERROR(__xludf.DUMMYFUNCTION("""COMPUTED_VALUE"""),"231K")</f>
        <v>231K</v>
      </c>
      <c r="B191" s="108" t="str">
        <f ca="1">IFERROR(__xludf.DUMMYFUNCTION("""COMPUTED_VALUE"""),"N.A.")</f>
        <v>N.A.</v>
      </c>
      <c r="C191" s="108">
        <f ca="1">IFERROR(__xludf.DUMMYFUNCTION("""COMPUTED_VALUE"""),0)</f>
        <v>0</v>
      </c>
    </row>
    <row r="192" spans="1:3" ht="14.25" customHeight="1" x14ac:dyDescent="0.25">
      <c r="A192" s="108" t="str">
        <f ca="1">IFERROR(__xludf.DUMMYFUNCTION("""COMPUTED_VALUE"""),"232K")</f>
        <v>232K</v>
      </c>
      <c r="B192" s="108" t="str">
        <f ca="1">IFERROR(__xludf.DUMMYFUNCTION("""COMPUTED_VALUE"""),"N.A.")</f>
        <v>N.A.</v>
      </c>
      <c r="C192" s="108">
        <f ca="1">IFERROR(__xludf.DUMMYFUNCTION("""COMPUTED_VALUE"""),0)</f>
        <v>0</v>
      </c>
    </row>
    <row r="193" spans="1:3" ht="14.25" customHeight="1" x14ac:dyDescent="0.25">
      <c r="A193" s="108" t="str">
        <f ca="1">IFERROR(__xludf.DUMMYFUNCTION("""COMPUTED_VALUE"""),"233K")</f>
        <v>233K</v>
      </c>
      <c r="B193" s="108" t="str">
        <f ca="1">IFERROR(__xludf.DUMMYFUNCTION("""COMPUTED_VALUE"""),"N.A.")</f>
        <v>N.A.</v>
      </c>
      <c r="C193" s="108">
        <f ca="1">IFERROR(__xludf.DUMMYFUNCTION("""COMPUTED_VALUE"""),0)</f>
        <v>0</v>
      </c>
    </row>
    <row r="194" spans="1:3" ht="14.25" customHeight="1" x14ac:dyDescent="0.25">
      <c r="A194" s="108" t="str">
        <f ca="1">IFERROR(__xludf.DUMMYFUNCTION("""COMPUTED_VALUE"""),"234K")</f>
        <v>234K</v>
      </c>
      <c r="B194" s="108" t="str">
        <f ca="1">IFERROR(__xludf.DUMMYFUNCTION("""COMPUTED_VALUE"""),"N.A.")</f>
        <v>N.A.</v>
      </c>
      <c r="C194" s="108">
        <f ca="1">IFERROR(__xludf.DUMMYFUNCTION("""COMPUTED_VALUE"""),0)</f>
        <v>0</v>
      </c>
    </row>
    <row r="195" spans="1:3" ht="14.25" customHeight="1" x14ac:dyDescent="0.25">
      <c r="A195" s="108" t="str">
        <f ca="1">IFERROR(__xludf.DUMMYFUNCTION("""COMPUTED_VALUE"""),"235K")</f>
        <v>235K</v>
      </c>
      <c r="B195" s="108">
        <f ca="1">IFERROR(__xludf.DUMMYFUNCTION("""COMPUTED_VALUE"""),60)</f>
        <v>60</v>
      </c>
      <c r="C195" s="108">
        <f ca="1">IFERROR(__xludf.DUMMYFUNCTION("""COMPUTED_VALUE"""),7)</f>
        <v>7</v>
      </c>
    </row>
    <row r="196" spans="1:3" ht="14.25" customHeight="1" x14ac:dyDescent="0.25">
      <c r="A196" s="108"/>
      <c r="B196" s="108"/>
      <c r="C196" s="108"/>
    </row>
    <row r="197" spans="1:3" ht="14.25" customHeight="1" x14ac:dyDescent="0.25">
      <c r="A197" s="108"/>
      <c r="B197" s="108"/>
      <c r="C197" s="108"/>
    </row>
    <row r="198" spans="1:3" ht="14.25" customHeight="1" x14ac:dyDescent="0.25">
      <c r="A198" s="108"/>
      <c r="B198" s="108"/>
      <c r="C198" s="108"/>
    </row>
    <row r="199" spans="1:3" ht="14.25" customHeight="1" x14ac:dyDescent="0.25">
      <c r="A199" s="108"/>
      <c r="B199" s="108"/>
      <c r="C199" s="108"/>
    </row>
    <row r="200" spans="1:3" ht="14.25" customHeight="1" x14ac:dyDescent="0.25">
      <c r="A200" s="108"/>
      <c r="B200" s="108"/>
      <c r="C200" s="108"/>
    </row>
    <row r="201" spans="1:3" ht="14.25" customHeight="1" x14ac:dyDescent="0.25">
      <c r="A201" s="108"/>
      <c r="B201" s="108"/>
      <c r="C201" s="108"/>
    </row>
    <row r="202" spans="1:3" ht="14.25" customHeight="1" x14ac:dyDescent="0.25">
      <c r="A202" s="108"/>
      <c r="B202" s="108"/>
      <c r="C202" s="108"/>
    </row>
    <row r="203" spans="1:3" ht="14.25" customHeight="1" x14ac:dyDescent="0.25">
      <c r="A203" s="108"/>
      <c r="B203" s="108"/>
      <c r="C203" s="108"/>
    </row>
    <row r="204" spans="1:3" ht="14.25" customHeight="1" x14ac:dyDescent="0.25">
      <c r="A204" s="108"/>
      <c r="B204" s="108"/>
      <c r="C204" s="108"/>
    </row>
    <row r="205" spans="1:3" ht="14.25" customHeight="1" x14ac:dyDescent="0.25">
      <c r="A205" s="108"/>
      <c r="B205" s="108"/>
      <c r="C205" s="108"/>
    </row>
    <row r="206" spans="1:3" ht="14.25" customHeight="1" x14ac:dyDescent="0.25">
      <c r="A206" s="108"/>
      <c r="B206" s="108"/>
      <c r="C206" s="108"/>
    </row>
    <row r="207" spans="1:3" ht="14.25" customHeight="1" x14ac:dyDescent="0.25">
      <c r="A207" s="108"/>
      <c r="B207" s="108"/>
      <c r="C207" s="108"/>
    </row>
    <row r="208" spans="1:3" ht="14.25" customHeight="1" x14ac:dyDescent="0.25">
      <c r="A208" s="108"/>
      <c r="B208" s="108"/>
      <c r="C208" s="108"/>
    </row>
    <row r="209" spans="1:3" ht="14.25" customHeight="1" x14ac:dyDescent="0.25">
      <c r="A209" s="108"/>
      <c r="B209" s="108"/>
      <c r="C209" s="108"/>
    </row>
    <row r="210" spans="1:3" ht="14.25" customHeight="1" x14ac:dyDescent="0.25">
      <c r="A210" s="108"/>
      <c r="B210" s="108"/>
      <c r="C210" s="108"/>
    </row>
    <row r="211" spans="1:3" ht="14.25" customHeight="1" x14ac:dyDescent="0.25">
      <c r="A211" s="108"/>
      <c r="B211" s="108"/>
      <c r="C211" s="108"/>
    </row>
    <row r="212" spans="1:3" ht="14.25" customHeight="1" x14ac:dyDescent="0.25">
      <c r="A212" s="108"/>
      <c r="B212" s="108"/>
      <c r="C212" s="108"/>
    </row>
    <row r="213" spans="1:3" ht="14.25" customHeight="1" x14ac:dyDescent="0.25">
      <c r="A213" s="108"/>
      <c r="B213" s="108"/>
      <c r="C213" s="108"/>
    </row>
    <row r="214" spans="1:3" ht="14.25" customHeight="1" x14ac:dyDescent="0.25">
      <c r="A214" s="108"/>
      <c r="B214" s="108"/>
      <c r="C214" s="108"/>
    </row>
    <row r="215" spans="1:3" ht="14.25" customHeight="1" x14ac:dyDescent="0.25">
      <c r="A215" s="108"/>
      <c r="B215" s="108"/>
      <c r="C215" s="108"/>
    </row>
    <row r="216" spans="1:3" ht="14.25" customHeight="1" x14ac:dyDescent="0.25">
      <c r="A216" s="108"/>
      <c r="B216" s="108"/>
      <c r="C216" s="108"/>
    </row>
    <row r="217" spans="1:3" ht="14.25" customHeight="1" x14ac:dyDescent="0.25">
      <c r="A217" s="108"/>
      <c r="B217" s="108"/>
      <c r="C217" s="108"/>
    </row>
    <row r="218" spans="1:3" ht="14.25" customHeight="1" x14ac:dyDescent="0.25">
      <c r="A218" s="108"/>
      <c r="B218" s="108"/>
      <c r="C218" s="108"/>
    </row>
    <row r="219" spans="1:3" ht="14.25" customHeight="1" x14ac:dyDescent="0.25">
      <c r="A219" s="108"/>
      <c r="B219" s="108"/>
      <c r="C219" s="108"/>
    </row>
    <row r="220" spans="1:3" ht="14.25" customHeight="1" x14ac:dyDescent="0.25">
      <c r="A220" s="108"/>
      <c r="B220" s="108"/>
      <c r="C220" s="108"/>
    </row>
    <row r="221" spans="1:3" ht="14.25" customHeight="1" x14ac:dyDescent="0.25">
      <c r="A221" s="108"/>
      <c r="B221" s="108"/>
      <c r="C221" s="108"/>
    </row>
    <row r="222" spans="1:3" ht="14.25" customHeight="1" x14ac:dyDescent="0.25">
      <c r="A222" s="108"/>
      <c r="B222" s="108"/>
      <c r="C222" s="108"/>
    </row>
    <row r="223" spans="1:3" ht="14.25" customHeight="1" x14ac:dyDescent="0.25">
      <c r="A223" s="108"/>
      <c r="B223" s="108"/>
      <c r="C223" s="108"/>
    </row>
    <row r="224" spans="1:3" ht="14.25" customHeight="1" x14ac:dyDescent="0.25">
      <c r="A224" s="108"/>
      <c r="B224" s="108"/>
      <c r="C224" s="108"/>
    </row>
    <row r="225" spans="1:3" ht="14.25" customHeight="1" x14ac:dyDescent="0.25">
      <c r="A225" s="108"/>
      <c r="B225" s="108"/>
      <c r="C225" s="108"/>
    </row>
    <row r="226" spans="1:3" ht="14.25" customHeight="1" x14ac:dyDescent="0.25">
      <c r="A226" s="108"/>
      <c r="B226" s="108"/>
      <c r="C226" s="108"/>
    </row>
    <row r="227" spans="1:3" ht="14.25" customHeight="1" x14ac:dyDescent="0.25">
      <c r="A227" s="108"/>
      <c r="B227" s="108"/>
      <c r="C227" s="108"/>
    </row>
    <row r="228" spans="1:3" ht="14.25" customHeight="1" x14ac:dyDescent="0.25">
      <c r="A228" s="108"/>
      <c r="B228" s="108"/>
      <c r="C228" s="108"/>
    </row>
    <row r="229" spans="1:3" ht="14.25" customHeight="1" x14ac:dyDescent="0.25">
      <c r="A229" s="108"/>
      <c r="B229" s="108"/>
      <c r="C229" s="108"/>
    </row>
    <row r="230" spans="1:3" ht="14.25" customHeight="1" x14ac:dyDescent="0.25">
      <c r="A230" s="108"/>
      <c r="B230" s="108"/>
      <c r="C230" s="108"/>
    </row>
    <row r="231" spans="1:3" ht="14.25" customHeight="1" x14ac:dyDescent="0.25">
      <c r="A231" s="108"/>
      <c r="B231" s="108"/>
      <c r="C231" s="108"/>
    </row>
    <row r="232" spans="1:3" ht="14.25" customHeight="1" x14ac:dyDescent="0.25">
      <c r="A232" s="108"/>
      <c r="B232" s="108"/>
      <c r="C232" s="108"/>
    </row>
    <row r="233" spans="1:3" ht="14.25" customHeight="1" x14ac:dyDescent="0.25">
      <c r="A233" s="108"/>
      <c r="B233" s="108"/>
      <c r="C233" s="108"/>
    </row>
    <row r="234" spans="1:3" ht="14.25" customHeight="1" x14ac:dyDescent="0.25">
      <c r="A234" s="108"/>
      <c r="B234" s="108"/>
      <c r="C234" s="108"/>
    </row>
    <row r="235" spans="1:3" ht="14.25" customHeight="1" x14ac:dyDescent="0.25">
      <c r="A235" s="108"/>
      <c r="B235" s="108"/>
      <c r="C235" s="108"/>
    </row>
    <row r="236" spans="1:3" ht="14.25" customHeight="1" x14ac:dyDescent="0.25">
      <c r="A236" s="108"/>
      <c r="B236" s="108"/>
      <c r="C236" s="108"/>
    </row>
    <row r="237" spans="1:3" ht="14.25" customHeight="1" x14ac:dyDescent="0.25">
      <c r="A237" s="108"/>
    </row>
    <row r="238" spans="1:3" ht="14.25" customHeight="1" x14ac:dyDescent="0.25">
      <c r="A238" s="108"/>
    </row>
    <row r="239" spans="1:3" ht="14.25" customHeight="1" x14ac:dyDescent="0.25">
      <c r="A239" s="108"/>
    </row>
    <row r="240" spans="1:3" ht="14.25" customHeight="1" x14ac:dyDescent="0.25">
      <c r="A240" s="108"/>
    </row>
    <row r="241" spans="1:1" ht="14.25" customHeight="1" x14ac:dyDescent="0.25">
      <c r="A241" s="108"/>
    </row>
    <row r="242" spans="1:1" ht="14.25" customHeight="1" x14ac:dyDescent="0.25">
      <c r="A242" s="108"/>
    </row>
    <row r="243" spans="1:1" ht="14.25" customHeight="1" x14ac:dyDescent="0.25">
      <c r="A243" s="108"/>
    </row>
    <row r="244" spans="1:1" ht="14.25" customHeight="1" x14ac:dyDescent="0.25">
      <c r="A244" s="108"/>
    </row>
    <row r="245" spans="1:1" ht="14.25" customHeight="1" x14ac:dyDescent="0.25">
      <c r="A245" s="108"/>
    </row>
    <row r="246" spans="1:1" ht="14.25" customHeight="1" x14ac:dyDescent="0.25">
      <c r="A246" s="108"/>
    </row>
    <row r="247" spans="1:1" ht="14.25" customHeight="1" x14ac:dyDescent="0.25">
      <c r="A247" s="108"/>
    </row>
    <row r="248" spans="1:1" ht="14.25" customHeight="1" x14ac:dyDescent="0.25">
      <c r="A248" s="108"/>
    </row>
    <row r="249" spans="1:1" ht="14.25" customHeight="1" x14ac:dyDescent="0.25">
      <c r="A249" s="108"/>
    </row>
    <row r="250" spans="1:1" ht="14.25" customHeight="1" x14ac:dyDescent="0.25">
      <c r="A250" s="108"/>
    </row>
    <row r="251" spans="1:1" ht="14.25" customHeight="1" x14ac:dyDescent="0.25">
      <c r="A251" s="108"/>
    </row>
    <row r="252" spans="1:1" ht="14.25" customHeight="1" x14ac:dyDescent="0.25"/>
    <row r="253" spans="1:1" ht="14.25" customHeight="1" x14ac:dyDescent="0.25"/>
    <row r="254" spans="1:1" ht="14.25" customHeight="1" x14ac:dyDescent="0.25"/>
    <row r="255" spans="1:1" ht="14.25" customHeight="1" x14ac:dyDescent="0.25"/>
    <row r="256" spans="1:1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</sheetData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rgb="FF92D050"/>
  </sheetPr>
  <dimension ref="A1:BA959"/>
  <sheetViews>
    <sheetView workbookViewId="0"/>
  </sheetViews>
  <sheetFormatPr defaultColWidth="14.42578125" defaultRowHeight="15" customHeight="1" x14ac:dyDescent="0.25"/>
  <cols>
    <col min="1" max="1" width="14" customWidth="1"/>
    <col min="2" max="2" width="9.140625" customWidth="1"/>
    <col min="3" max="3" width="13.5703125" customWidth="1"/>
    <col min="4" max="4" width="18.28515625" customWidth="1"/>
    <col min="5" max="7" width="9.140625" customWidth="1"/>
    <col min="8" max="53" width="10" customWidth="1"/>
  </cols>
  <sheetData>
    <row r="1" spans="1:53" ht="54.75" customHeight="1" x14ac:dyDescent="0.25">
      <c r="A1" s="98" t="s">
        <v>38</v>
      </c>
      <c r="B1" s="98" t="s">
        <v>436</v>
      </c>
      <c r="C1" s="98" t="s">
        <v>437</v>
      </c>
      <c r="D1" s="155" t="s">
        <v>438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</row>
    <row r="2" spans="1:53" ht="15" customHeight="1" x14ac:dyDescent="0.4">
      <c r="A2" s="154" t="str">
        <f ca="1">IFERROR(__xludf.DUMMYFUNCTION("FILTER('NEST DATA '!A:A,'NEST DATA '!AM:AM=1)"),"1P")</f>
        <v>1P</v>
      </c>
      <c r="B2" s="154">
        <f ca="1">IFERROR(__xludf.DUMMYFUNCTION("FILTER('NEST DATA '!V:V,'NEST DATA '!$AM:$AM=1)"),70)</f>
        <v>70</v>
      </c>
      <c r="C2" s="154">
        <f ca="1">IFERROR(__xludf.DUMMYFUNCTION("FILTER('NEST DATA '!W:W,'NEST DATA '!$AM:$AM=1)"),68)</f>
        <v>68</v>
      </c>
      <c r="D2" s="156">
        <f t="shared" ref="D2:D4" ca="1" si="0">IF(B2&lt;&gt;"N.A.",(C2/B2*100),"N.A.")</f>
        <v>97.142857142857139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</row>
    <row r="3" spans="1:53" ht="15" customHeight="1" x14ac:dyDescent="0.25">
      <c r="A3" s="108" t="str">
        <f ca="1">IFERROR(__xludf.DUMMYFUNCTION("""COMPUTED_VALUE"""),"2P")</f>
        <v>2P</v>
      </c>
      <c r="B3" s="108">
        <f ca="1">IFERROR(__xludf.DUMMYFUNCTION("""COMPUTED_VALUE"""),93)</f>
        <v>93</v>
      </c>
      <c r="C3" s="108">
        <f ca="1">IFERROR(__xludf.DUMMYFUNCTION("""COMPUTED_VALUE"""),92)</f>
        <v>92</v>
      </c>
      <c r="D3" s="156">
        <f t="shared" ca="1" si="0"/>
        <v>98.924731182795696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</row>
    <row r="4" spans="1:53" ht="15" customHeight="1" x14ac:dyDescent="0.25">
      <c r="A4" s="108" t="str">
        <f ca="1">IFERROR(__xludf.DUMMYFUNCTION("""COMPUTED_VALUE"""),"3P")</f>
        <v>3P</v>
      </c>
      <c r="B4" s="108" t="str">
        <f ca="1">IFERROR(__xludf.DUMMYFUNCTION("""COMPUTED_VALUE"""),"N.A.")</f>
        <v>N.A.</v>
      </c>
      <c r="C4" s="108" t="str">
        <f ca="1">IFERROR(__xludf.DUMMYFUNCTION("""COMPUTED_VALUE"""),"N.A.")</f>
        <v>N.A.</v>
      </c>
      <c r="D4" s="156" t="str">
        <f t="shared" ca="1" si="0"/>
        <v>N.A.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</row>
    <row r="5" spans="1:53" ht="15" customHeight="1" x14ac:dyDescent="0.25">
      <c r="A5" s="108" t="str">
        <f ca="1">IFERROR(__xludf.DUMMYFUNCTION("""COMPUTED_VALUE"""),"4K")</f>
        <v>4K</v>
      </c>
      <c r="B5" s="108">
        <f ca="1">IFERROR(__xludf.DUMMYFUNCTION("""COMPUTED_VALUE"""),0)</f>
        <v>0</v>
      </c>
      <c r="C5" s="108">
        <f ca="1">IFERROR(__xludf.DUMMYFUNCTION("""COMPUTED_VALUE"""),0)</f>
        <v>0</v>
      </c>
      <c r="D5" s="156" t="s">
        <v>89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</row>
    <row r="6" spans="1:53" ht="15" customHeight="1" x14ac:dyDescent="0.25">
      <c r="A6" s="108" t="str">
        <f ca="1">IFERROR(__xludf.DUMMYFUNCTION("""COMPUTED_VALUE"""),"5K")</f>
        <v>5K</v>
      </c>
      <c r="B6" s="108">
        <f ca="1">IFERROR(__xludf.DUMMYFUNCTION("""COMPUTED_VALUE"""),78)</f>
        <v>78</v>
      </c>
      <c r="C6" s="108">
        <f ca="1">IFERROR(__xludf.DUMMYFUNCTION("""COMPUTED_VALUE"""),77)</f>
        <v>77</v>
      </c>
      <c r="D6" s="156">
        <f t="shared" ref="D6:D195" ca="1" si="1">IF(B6&lt;&gt;"N.A.",(C6/B6*100),"N.A.")</f>
        <v>98.71794871794873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</row>
    <row r="7" spans="1:53" ht="15" customHeight="1" x14ac:dyDescent="0.25">
      <c r="A7" s="108" t="str">
        <f ca="1">IFERROR(__xludf.DUMMYFUNCTION("""COMPUTED_VALUE"""),"6P")</f>
        <v>6P</v>
      </c>
      <c r="B7" s="108">
        <f ca="1">IFERROR(__xludf.DUMMYFUNCTION("""COMPUTED_VALUE"""),26)</f>
        <v>26</v>
      </c>
      <c r="C7" s="108">
        <f ca="1">IFERROR(__xludf.DUMMYFUNCTION("""COMPUTED_VALUE"""),26)</f>
        <v>26</v>
      </c>
      <c r="D7" s="156">
        <f t="shared" ca="1" si="1"/>
        <v>100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</row>
    <row r="8" spans="1:53" ht="15" customHeight="1" x14ac:dyDescent="0.25">
      <c r="A8" s="108" t="str">
        <f ca="1">IFERROR(__xludf.DUMMYFUNCTION("""COMPUTED_VALUE"""),"7P")</f>
        <v>7P</v>
      </c>
      <c r="B8" s="108">
        <f ca="1">IFERROR(__xludf.DUMMYFUNCTION("""COMPUTED_VALUE"""),122)</f>
        <v>122</v>
      </c>
      <c r="C8" s="108">
        <f ca="1">IFERROR(__xludf.DUMMYFUNCTION("""COMPUTED_VALUE"""),120)</f>
        <v>120</v>
      </c>
      <c r="D8" s="156">
        <f t="shared" ca="1" si="1"/>
        <v>98.360655737704917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</row>
    <row r="9" spans="1:53" ht="15" customHeight="1" x14ac:dyDescent="0.25">
      <c r="A9" s="108" t="str">
        <f ca="1">IFERROR(__xludf.DUMMYFUNCTION("""COMPUTED_VALUE"""),"8P")</f>
        <v>8P</v>
      </c>
      <c r="B9" s="108">
        <f ca="1">IFERROR(__xludf.DUMMYFUNCTION("""COMPUTED_VALUE"""),49)</f>
        <v>49</v>
      </c>
      <c r="C9" s="108">
        <f ca="1">IFERROR(__xludf.DUMMYFUNCTION("""COMPUTED_VALUE"""),43)</f>
        <v>43</v>
      </c>
      <c r="D9" s="156">
        <f t="shared" ca="1" si="1"/>
        <v>87.755102040816325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</row>
    <row r="10" spans="1:53" ht="15" customHeight="1" x14ac:dyDescent="0.25">
      <c r="A10" s="108" t="str">
        <f ca="1">IFERROR(__xludf.DUMMYFUNCTION("""COMPUTED_VALUE"""),"9K")</f>
        <v>9K</v>
      </c>
      <c r="B10" s="108">
        <f ca="1">IFERROR(__xludf.DUMMYFUNCTION("""COMPUTED_VALUE"""),52)</f>
        <v>52</v>
      </c>
      <c r="C10" s="108">
        <f ca="1">IFERROR(__xludf.DUMMYFUNCTION("""COMPUTED_VALUE"""),29)</f>
        <v>29</v>
      </c>
      <c r="D10" s="156">
        <f t="shared" ca="1" si="1"/>
        <v>55.769230769230774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</row>
    <row r="11" spans="1:53" ht="15" customHeight="1" x14ac:dyDescent="0.25">
      <c r="A11" s="108" t="str">
        <f ca="1">IFERROR(__xludf.DUMMYFUNCTION("""COMPUTED_VALUE"""),"10P")</f>
        <v>10P</v>
      </c>
      <c r="B11" s="108">
        <f ca="1">IFERROR(__xludf.DUMMYFUNCTION("""COMPUTED_VALUE"""),101)</f>
        <v>101</v>
      </c>
      <c r="C11" s="108">
        <f ca="1">IFERROR(__xludf.DUMMYFUNCTION("""COMPUTED_VALUE"""),88)</f>
        <v>88</v>
      </c>
      <c r="D11" s="156">
        <f t="shared" ca="1" si="1"/>
        <v>87.128712871287135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</row>
    <row r="12" spans="1:53" ht="15" customHeight="1" x14ac:dyDescent="0.25">
      <c r="A12" s="108" t="str">
        <f ca="1">IFERROR(__xludf.DUMMYFUNCTION("""COMPUTED_VALUE"""),"11K")</f>
        <v>11K</v>
      </c>
      <c r="B12" s="108" t="str">
        <f ca="1">IFERROR(__xludf.DUMMYFUNCTION("""COMPUTED_VALUE"""),"N.A.")</f>
        <v>N.A.</v>
      </c>
      <c r="C12" s="108" t="str">
        <f ca="1">IFERROR(__xludf.DUMMYFUNCTION("""COMPUTED_VALUE"""),"N.A.")</f>
        <v>N.A.</v>
      </c>
      <c r="D12" s="156" t="str">
        <f t="shared" ca="1" si="1"/>
        <v>N.A.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</row>
    <row r="13" spans="1:53" ht="15" customHeight="1" x14ac:dyDescent="0.25">
      <c r="A13" s="108" t="str">
        <f ca="1">IFERROR(__xludf.DUMMYFUNCTION("""COMPUTED_VALUE"""),"12K")</f>
        <v>12K</v>
      </c>
      <c r="B13" s="108">
        <f ca="1">IFERROR(__xludf.DUMMYFUNCTION("""COMPUTED_VALUE"""),110)</f>
        <v>110</v>
      </c>
      <c r="C13" s="108">
        <f ca="1">IFERROR(__xludf.DUMMYFUNCTION("""COMPUTED_VALUE"""),108)</f>
        <v>108</v>
      </c>
      <c r="D13" s="156">
        <f t="shared" ca="1" si="1"/>
        <v>98.181818181818187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</row>
    <row r="14" spans="1:53" ht="15" customHeight="1" x14ac:dyDescent="0.25">
      <c r="A14" s="108" t="str">
        <f ca="1">IFERROR(__xludf.DUMMYFUNCTION("""COMPUTED_VALUE"""),"13P")</f>
        <v>13P</v>
      </c>
      <c r="B14" s="108">
        <f ca="1">IFERROR(__xludf.DUMMYFUNCTION("""COMPUTED_VALUE"""),71)</f>
        <v>71</v>
      </c>
      <c r="C14" s="108">
        <f ca="1">IFERROR(__xludf.DUMMYFUNCTION("""COMPUTED_VALUE"""),70)</f>
        <v>70</v>
      </c>
      <c r="D14" s="156">
        <f t="shared" ca="1" si="1"/>
        <v>98.591549295774655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</row>
    <row r="15" spans="1:53" ht="15" customHeight="1" x14ac:dyDescent="0.25">
      <c r="A15" s="108" t="str">
        <f ca="1">IFERROR(__xludf.DUMMYFUNCTION("""COMPUTED_VALUE"""),"14K")</f>
        <v>14K</v>
      </c>
      <c r="B15" s="108">
        <f ca="1">IFERROR(__xludf.DUMMYFUNCTION("""COMPUTED_VALUE"""),117)</f>
        <v>117</v>
      </c>
      <c r="C15" s="108">
        <f ca="1">IFERROR(__xludf.DUMMYFUNCTION("""COMPUTED_VALUE"""),117)</f>
        <v>117</v>
      </c>
      <c r="D15" s="156">
        <f t="shared" ca="1" si="1"/>
        <v>100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</row>
    <row r="16" spans="1:53" ht="15" customHeight="1" x14ac:dyDescent="0.25">
      <c r="A16" s="108" t="str">
        <f ca="1">IFERROR(__xludf.DUMMYFUNCTION("""COMPUTED_VALUE"""),"15P")</f>
        <v>15P</v>
      </c>
      <c r="B16" s="108">
        <f ca="1">IFERROR(__xludf.DUMMYFUNCTION("""COMPUTED_VALUE"""),45)</f>
        <v>45</v>
      </c>
      <c r="C16" s="108">
        <f ca="1">IFERROR(__xludf.DUMMYFUNCTION("""COMPUTED_VALUE"""),45)</f>
        <v>45</v>
      </c>
      <c r="D16" s="156">
        <f t="shared" ca="1" si="1"/>
        <v>100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</row>
    <row r="17" spans="1:53" ht="15" customHeight="1" x14ac:dyDescent="0.25">
      <c r="A17" s="108" t="str">
        <f ca="1">IFERROR(__xludf.DUMMYFUNCTION("""COMPUTED_VALUE"""),"16K")</f>
        <v>16K</v>
      </c>
      <c r="B17" s="108">
        <f ca="1">IFERROR(__xludf.DUMMYFUNCTION("""COMPUTED_VALUE"""),98)</f>
        <v>98</v>
      </c>
      <c r="C17" s="108">
        <f ca="1">IFERROR(__xludf.DUMMYFUNCTION("""COMPUTED_VALUE"""),97)</f>
        <v>97</v>
      </c>
      <c r="D17" s="156">
        <f t="shared" ca="1" si="1"/>
        <v>98.979591836734699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</row>
    <row r="18" spans="1:53" ht="15" customHeight="1" x14ac:dyDescent="0.25">
      <c r="A18" s="108" t="str">
        <f ca="1">IFERROR(__xludf.DUMMYFUNCTION("""COMPUTED_VALUE"""),"17K")</f>
        <v>17K</v>
      </c>
      <c r="B18" s="108">
        <f ca="1">IFERROR(__xludf.DUMMYFUNCTION("""COMPUTED_VALUE"""),48)</f>
        <v>48</v>
      </c>
      <c r="C18" s="108">
        <f ca="1">IFERROR(__xludf.DUMMYFUNCTION("""COMPUTED_VALUE"""),44)</f>
        <v>44</v>
      </c>
      <c r="D18" s="156">
        <f t="shared" ca="1" si="1"/>
        <v>91.666666666666657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</row>
    <row r="19" spans="1:53" ht="15" customHeight="1" x14ac:dyDescent="0.25">
      <c r="A19" s="108" t="str">
        <f ca="1">IFERROR(__xludf.DUMMYFUNCTION("""COMPUTED_VALUE"""),"18P")</f>
        <v>18P</v>
      </c>
      <c r="B19" s="108">
        <f ca="1">IFERROR(__xludf.DUMMYFUNCTION("""COMPUTED_VALUE"""),149)</f>
        <v>149</v>
      </c>
      <c r="C19" s="108">
        <f ca="1">IFERROR(__xludf.DUMMYFUNCTION("""COMPUTED_VALUE"""),145)</f>
        <v>145</v>
      </c>
      <c r="D19" s="156">
        <f t="shared" ca="1" si="1"/>
        <v>97.31543624161074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</row>
    <row r="20" spans="1:53" ht="15" customHeight="1" x14ac:dyDescent="0.25">
      <c r="A20" s="108" t="str">
        <f ca="1">IFERROR(__xludf.DUMMYFUNCTION("""COMPUTED_VALUE"""),"19P")</f>
        <v>19P</v>
      </c>
      <c r="B20" s="108">
        <f ca="1">IFERROR(__xludf.DUMMYFUNCTION("""COMPUTED_VALUE"""),145)</f>
        <v>145</v>
      </c>
      <c r="C20" s="108">
        <f ca="1">IFERROR(__xludf.DUMMYFUNCTION("""COMPUTED_VALUE"""),145)</f>
        <v>145</v>
      </c>
      <c r="D20" s="156">
        <f t="shared" ca="1" si="1"/>
        <v>100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</row>
    <row r="21" spans="1:53" ht="15" customHeight="1" x14ac:dyDescent="0.25">
      <c r="A21" s="108" t="str">
        <f ca="1">IFERROR(__xludf.DUMMYFUNCTION("""COMPUTED_VALUE"""),"20P")</f>
        <v>20P</v>
      </c>
      <c r="B21" s="108">
        <f ca="1">IFERROR(__xludf.DUMMYFUNCTION("""COMPUTED_VALUE"""),105)</f>
        <v>105</v>
      </c>
      <c r="C21" s="108">
        <f ca="1">IFERROR(__xludf.DUMMYFUNCTION("""COMPUTED_VALUE"""),103)</f>
        <v>103</v>
      </c>
      <c r="D21" s="156">
        <f t="shared" ca="1" si="1"/>
        <v>98.095238095238088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</row>
    <row r="22" spans="1:53" ht="15" customHeight="1" x14ac:dyDescent="0.25">
      <c r="A22" s="108" t="str">
        <f ca="1">IFERROR(__xludf.DUMMYFUNCTION("""COMPUTED_VALUE"""),"21K")</f>
        <v>21K</v>
      </c>
      <c r="B22" s="108">
        <f ca="1">IFERROR(__xludf.DUMMYFUNCTION("""COMPUTED_VALUE"""),99)</f>
        <v>99</v>
      </c>
      <c r="C22" s="108">
        <f ca="1">IFERROR(__xludf.DUMMYFUNCTION("""COMPUTED_VALUE"""),99)</f>
        <v>99</v>
      </c>
      <c r="D22" s="156">
        <f t="shared" ca="1" si="1"/>
        <v>100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</row>
    <row r="23" spans="1:53" ht="15" customHeight="1" x14ac:dyDescent="0.25">
      <c r="A23" s="108" t="str">
        <f ca="1">IFERROR(__xludf.DUMMYFUNCTION("""COMPUTED_VALUE"""),"22K")</f>
        <v>22K</v>
      </c>
      <c r="B23" s="108">
        <f ca="1">IFERROR(__xludf.DUMMYFUNCTION("""COMPUTED_VALUE"""),57)</f>
        <v>57</v>
      </c>
      <c r="C23" s="108">
        <f ca="1">IFERROR(__xludf.DUMMYFUNCTION("""COMPUTED_VALUE"""),54)</f>
        <v>54</v>
      </c>
      <c r="D23" s="156">
        <f t="shared" ca="1" si="1"/>
        <v>94.73684210526315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</row>
    <row r="24" spans="1:53" ht="15" customHeight="1" x14ac:dyDescent="0.25">
      <c r="A24" s="108" t="str">
        <f ca="1">IFERROR(__xludf.DUMMYFUNCTION("""COMPUTED_VALUE"""),"23K")</f>
        <v>23K</v>
      </c>
      <c r="B24" s="108" t="str">
        <f ca="1">IFERROR(__xludf.DUMMYFUNCTION("""COMPUTED_VALUE"""),"N.A.")</f>
        <v>N.A.</v>
      </c>
      <c r="C24" s="108" t="str">
        <f ca="1">IFERROR(__xludf.DUMMYFUNCTION("""COMPUTED_VALUE"""),"N.A.")</f>
        <v>N.A.</v>
      </c>
      <c r="D24" s="156" t="str">
        <f t="shared" ca="1" si="1"/>
        <v>N.A.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</row>
    <row r="25" spans="1:53" ht="15" customHeight="1" x14ac:dyDescent="0.25">
      <c r="A25" s="108" t="str">
        <f ca="1">IFERROR(__xludf.DUMMYFUNCTION("""COMPUTED_VALUE"""),"24K")</f>
        <v>24K</v>
      </c>
      <c r="B25" s="108">
        <f ca="1">IFERROR(__xludf.DUMMYFUNCTION("""COMPUTED_VALUE"""),121)</f>
        <v>121</v>
      </c>
      <c r="C25" s="108">
        <f ca="1">IFERROR(__xludf.DUMMYFUNCTION("""COMPUTED_VALUE"""),118)</f>
        <v>118</v>
      </c>
      <c r="D25" s="156">
        <f t="shared" ca="1" si="1"/>
        <v>97.52066115702479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</row>
    <row r="26" spans="1:53" ht="15" customHeight="1" x14ac:dyDescent="0.25">
      <c r="A26" s="108" t="str">
        <f ca="1">IFERROR(__xludf.DUMMYFUNCTION("""COMPUTED_VALUE"""),"25P")</f>
        <v>25P</v>
      </c>
      <c r="B26" s="108">
        <f ca="1">IFERROR(__xludf.DUMMYFUNCTION("""COMPUTED_VALUE"""),90)</f>
        <v>90</v>
      </c>
      <c r="C26" s="108">
        <f ca="1">IFERROR(__xludf.DUMMYFUNCTION("""COMPUTED_VALUE"""),84)</f>
        <v>84</v>
      </c>
      <c r="D26" s="156">
        <f t="shared" ca="1" si="1"/>
        <v>93.333333333333329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</row>
    <row r="27" spans="1:53" ht="15" customHeight="1" x14ac:dyDescent="0.25">
      <c r="A27" s="108" t="str">
        <f ca="1">IFERROR(__xludf.DUMMYFUNCTION("""COMPUTED_VALUE"""),"26P")</f>
        <v>26P</v>
      </c>
      <c r="B27" s="108">
        <f ca="1">IFERROR(__xludf.DUMMYFUNCTION("""COMPUTED_VALUE"""),119)</f>
        <v>119</v>
      </c>
      <c r="C27" s="108">
        <f ca="1">IFERROR(__xludf.DUMMYFUNCTION("""COMPUTED_VALUE"""),115)</f>
        <v>115</v>
      </c>
      <c r="D27" s="156">
        <f t="shared" ca="1" si="1"/>
        <v>96.638655462184872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</row>
    <row r="28" spans="1:53" ht="15" customHeight="1" x14ac:dyDescent="0.25">
      <c r="A28" s="108" t="str">
        <f ca="1">IFERROR(__xludf.DUMMYFUNCTION("""COMPUTED_VALUE"""),"27P")</f>
        <v>27P</v>
      </c>
      <c r="B28" s="108">
        <f ca="1">IFERROR(__xludf.DUMMYFUNCTION("""COMPUTED_VALUE"""),89)</f>
        <v>89</v>
      </c>
      <c r="C28" s="108">
        <f ca="1">IFERROR(__xludf.DUMMYFUNCTION("""COMPUTED_VALUE"""),86)</f>
        <v>86</v>
      </c>
      <c r="D28" s="156">
        <f t="shared" ca="1" si="1"/>
        <v>96.629213483146074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</row>
    <row r="29" spans="1:53" ht="15" customHeight="1" x14ac:dyDescent="0.25">
      <c r="A29" s="108" t="str">
        <f ca="1">IFERROR(__xludf.DUMMYFUNCTION("""COMPUTED_VALUE"""),"28K")</f>
        <v>28K</v>
      </c>
      <c r="B29" s="108">
        <f ca="1">IFERROR(__xludf.DUMMYFUNCTION("""COMPUTED_VALUE"""),79)</f>
        <v>79</v>
      </c>
      <c r="C29" s="108">
        <f ca="1">IFERROR(__xludf.DUMMYFUNCTION("""COMPUTED_VALUE"""),78)</f>
        <v>78</v>
      </c>
      <c r="D29" s="156">
        <f t="shared" ca="1" si="1"/>
        <v>98.734177215189874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</row>
    <row r="30" spans="1:53" ht="15" customHeight="1" x14ac:dyDescent="0.25">
      <c r="A30" s="108" t="str">
        <f ca="1">IFERROR(__xludf.DUMMYFUNCTION("""COMPUTED_VALUE"""),"29K")</f>
        <v>29K</v>
      </c>
      <c r="B30" s="108">
        <f ca="1">IFERROR(__xludf.DUMMYFUNCTION("""COMPUTED_VALUE"""),32)</f>
        <v>32</v>
      </c>
      <c r="C30" s="108">
        <f ca="1">IFERROR(__xludf.DUMMYFUNCTION("""COMPUTED_VALUE"""),32)</f>
        <v>32</v>
      </c>
      <c r="D30" s="156">
        <f t="shared" ca="1" si="1"/>
        <v>100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</row>
    <row r="31" spans="1:53" ht="15" customHeight="1" x14ac:dyDescent="0.25">
      <c r="A31" s="108" t="str">
        <f ca="1">IFERROR(__xludf.DUMMYFUNCTION("""COMPUTED_VALUE"""),"30K")</f>
        <v>30K</v>
      </c>
      <c r="B31" s="108" t="str">
        <f ca="1">IFERROR(__xludf.DUMMYFUNCTION("""COMPUTED_VALUE"""),"N.A.")</f>
        <v>N.A.</v>
      </c>
      <c r="C31" s="108" t="str">
        <f ca="1">IFERROR(__xludf.DUMMYFUNCTION("""COMPUTED_VALUE"""),"N.A.")</f>
        <v>N.A.</v>
      </c>
      <c r="D31" s="156" t="str">
        <f t="shared" ca="1" si="1"/>
        <v>N.A.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</row>
    <row r="32" spans="1:53" ht="15" customHeight="1" x14ac:dyDescent="0.25">
      <c r="A32" s="108" t="str">
        <f ca="1">IFERROR(__xludf.DUMMYFUNCTION("""COMPUTED_VALUE"""),"31K")</f>
        <v>31K</v>
      </c>
      <c r="B32" s="108">
        <f ca="1">IFERROR(__xludf.DUMMYFUNCTION("""COMPUTED_VALUE"""),102)</f>
        <v>102</v>
      </c>
      <c r="C32" s="108">
        <f ca="1">IFERROR(__xludf.DUMMYFUNCTION("""COMPUTED_VALUE"""),100)</f>
        <v>100</v>
      </c>
      <c r="D32" s="156">
        <f t="shared" ca="1" si="1"/>
        <v>98.039215686274503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</row>
    <row r="33" spans="1:53" ht="15" customHeight="1" x14ac:dyDescent="0.25">
      <c r="A33" s="108" t="str">
        <f ca="1">IFERROR(__xludf.DUMMYFUNCTION("""COMPUTED_VALUE"""),"32K")</f>
        <v>32K</v>
      </c>
      <c r="B33" s="108">
        <f ca="1">IFERROR(__xludf.DUMMYFUNCTION("""COMPUTED_VALUE"""),92)</f>
        <v>92</v>
      </c>
      <c r="C33" s="108">
        <f ca="1">IFERROR(__xludf.DUMMYFUNCTION("""COMPUTED_VALUE"""),92)</f>
        <v>92</v>
      </c>
      <c r="D33" s="156">
        <f t="shared" ca="1" si="1"/>
        <v>100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</row>
    <row r="34" spans="1:53" ht="15" customHeight="1" x14ac:dyDescent="0.25">
      <c r="A34" s="108" t="str">
        <f ca="1">IFERROR(__xludf.DUMMYFUNCTION("""COMPUTED_VALUE"""),"33P")</f>
        <v>33P</v>
      </c>
      <c r="B34" s="108">
        <f ca="1">IFERROR(__xludf.DUMMYFUNCTION("""COMPUTED_VALUE"""),81)</f>
        <v>81</v>
      </c>
      <c r="C34" s="108">
        <f ca="1">IFERROR(__xludf.DUMMYFUNCTION("""COMPUTED_VALUE"""),81)</f>
        <v>81</v>
      </c>
      <c r="D34" s="156">
        <f t="shared" ca="1" si="1"/>
        <v>100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</row>
    <row r="35" spans="1:53" ht="15" customHeight="1" x14ac:dyDescent="0.25">
      <c r="A35" s="108" t="str">
        <f ca="1">IFERROR(__xludf.DUMMYFUNCTION("""COMPUTED_VALUE"""),"34K")</f>
        <v>34K</v>
      </c>
      <c r="B35" s="108">
        <f ca="1">IFERROR(__xludf.DUMMYFUNCTION("""COMPUTED_VALUE"""),59)</f>
        <v>59</v>
      </c>
      <c r="C35" s="108">
        <f ca="1">IFERROR(__xludf.DUMMYFUNCTION("""COMPUTED_VALUE"""),59)</f>
        <v>59</v>
      </c>
      <c r="D35" s="156">
        <f t="shared" ca="1" si="1"/>
        <v>100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</row>
    <row r="36" spans="1:53" ht="15" customHeight="1" x14ac:dyDescent="0.25">
      <c r="A36" s="108" t="str">
        <f ca="1">IFERROR(__xludf.DUMMYFUNCTION("""COMPUTED_VALUE"""),"35K")</f>
        <v>35K</v>
      </c>
      <c r="B36" s="108" t="str">
        <f ca="1">IFERROR(__xludf.DUMMYFUNCTION("""COMPUTED_VALUE"""),"N.A.")</f>
        <v>N.A.</v>
      </c>
      <c r="C36" s="108" t="str">
        <f ca="1">IFERROR(__xludf.DUMMYFUNCTION("""COMPUTED_VALUE"""),"N.A.")</f>
        <v>N.A.</v>
      </c>
      <c r="D36" s="156" t="str">
        <f t="shared" ca="1" si="1"/>
        <v>N.A.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</row>
    <row r="37" spans="1:53" ht="15" customHeight="1" x14ac:dyDescent="0.25">
      <c r="A37" s="108" t="str">
        <f ca="1">IFERROR(__xludf.DUMMYFUNCTION("""COMPUTED_VALUE"""),"36K")</f>
        <v>36K</v>
      </c>
      <c r="B37" s="108" t="str">
        <f ca="1">IFERROR(__xludf.DUMMYFUNCTION("""COMPUTED_VALUE"""),"N.A.")</f>
        <v>N.A.</v>
      </c>
      <c r="C37" s="108" t="str">
        <f ca="1">IFERROR(__xludf.DUMMYFUNCTION("""COMPUTED_VALUE"""),"N.A.")</f>
        <v>N.A.</v>
      </c>
      <c r="D37" s="156" t="str">
        <f t="shared" ca="1" si="1"/>
        <v>N.A.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</row>
    <row r="38" spans="1:53" ht="15" customHeight="1" x14ac:dyDescent="0.25">
      <c r="A38" s="108" t="str">
        <f ca="1">IFERROR(__xludf.DUMMYFUNCTION("""COMPUTED_VALUE"""),"37K")</f>
        <v>37K</v>
      </c>
      <c r="B38" s="108">
        <f ca="1">IFERROR(__xludf.DUMMYFUNCTION("""COMPUTED_VALUE"""),103)</f>
        <v>103</v>
      </c>
      <c r="C38" s="108">
        <f ca="1">IFERROR(__xludf.DUMMYFUNCTION("""COMPUTED_VALUE"""),100)</f>
        <v>100</v>
      </c>
      <c r="D38" s="156">
        <f t="shared" ca="1" si="1"/>
        <v>97.087378640776706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</row>
    <row r="39" spans="1:53" ht="15" customHeight="1" x14ac:dyDescent="0.25">
      <c r="A39" s="108" t="str">
        <f ca="1">IFERROR(__xludf.DUMMYFUNCTION("""COMPUTED_VALUE"""),"38P")</f>
        <v>38P</v>
      </c>
      <c r="B39" s="108" t="str">
        <f ca="1">IFERROR(__xludf.DUMMYFUNCTION("""COMPUTED_VALUE"""),"N.A.")</f>
        <v>N.A.</v>
      </c>
      <c r="C39" s="108" t="str">
        <f ca="1">IFERROR(__xludf.DUMMYFUNCTION("""COMPUTED_VALUE"""),"N.A.")</f>
        <v>N.A.</v>
      </c>
      <c r="D39" s="156" t="str">
        <f t="shared" ca="1" si="1"/>
        <v>N.A.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</row>
    <row r="40" spans="1:53" ht="15" customHeight="1" x14ac:dyDescent="0.25">
      <c r="A40" s="108" t="str">
        <f ca="1">IFERROR(__xludf.DUMMYFUNCTION("""COMPUTED_VALUE"""),"39K")</f>
        <v>39K</v>
      </c>
      <c r="B40" s="108" t="str">
        <f ca="1">IFERROR(__xludf.DUMMYFUNCTION("""COMPUTED_VALUE"""),"N.A.")</f>
        <v>N.A.</v>
      </c>
      <c r="C40" s="108" t="str">
        <f ca="1">IFERROR(__xludf.DUMMYFUNCTION("""COMPUTED_VALUE"""),"N.A.")</f>
        <v>N.A.</v>
      </c>
      <c r="D40" s="156" t="str">
        <f t="shared" ca="1" si="1"/>
        <v>N.A.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</row>
    <row r="41" spans="1:53" ht="15" customHeight="1" x14ac:dyDescent="0.25">
      <c r="A41" s="108" t="str">
        <f ca="1">IFERROR(__xludf.DUMMYFUNCTION("""COMPUTED_VALUE"""),"40P")</f>
        <v>40P</v>
      </c>
      <c r="B41" s="108">
        <f ca="1">IFERROR(__xludf.DUMMYFUNCTION("""COMPUTED_VALUE"""),72)</f>
        <v>72</v>
      </c>
      <c r="C41" s="108">
        <f ca="1">IFERROR(__xludf.DUMMYFUNCTION("""COMPUTED_VALUE"""),64)</f>
        <v>64</v>
      </c>
      <c r="D41" s="156">
        <f t="shared" ca="1" si="1"/>
        <v>88.888888888888886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</row>
    <row r="42" spans="1:53" ht="15" customHeight="1" x14ac:dyDescent="0.25">
      <c r="A42" s="108" t="str">
        <f ca="1">IFERROR(__xludf.DUMMYFUNCTION("""COMPUTED_VALUE"""),"41P")</f>
        <v>41P</v>
      </c>
      <c r="B42" s="108">
        <f ca="1">IFERROR(__xludf.DUMMYFUNCTION("""COMPUTED_VALUE"""),70)</f>
        <v>70</v>
      </c>
      <c r="C42" s="108">
        <f ca="1">IFERROR(__xludf.DUMMYFUNCTION("""COMPUTED_VALUE"""),67)</f>
        <v>67</v>
      </c>
      <c r="D42" s="156">
        <f t="shared" ca="1" si="1"/>
        <v>95.714285714285722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</row>
    <row r="43" spans="1:53" ht="15" customHeight="1" x14ac:dyDescent="0.25">
      <c r="A43" s="108" t="str">
        <f ca="1">IFERROR(__xludf.DUMMYFUNCTION("""COMPUTED_VALUE"""),"42K")</f>
        <v>42K</v>
      </c>
      <c r="B43" s="108" t="str">
        <f ca="1">IFERROR(__xludf.DUMMYFUNCTION("""COMPUTED_VALUE"""),"N.A.")</f>
        <v>N.A.</v>
      </c>
      <c r="C43" s="108" t="str">
        <f ca="1">IFERROR(__xludf.DUMMYFUNCTION("""COMPUTED_VALUE"""),"N.A.")</f>
        <v>N.A.</v>
      </c>
      <c r="D43" s="156" t="str">
        <f t="shared" ca="1" si="1"/>
        <v>N.A.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</row>
    <row r="44" spans="1:53" ht="15" customHeight="1" x14ac:dyDescent="0.25">
      <c r="A44" s="108" t="str">
        <f ca="1">IFERROR(__xludf.DUMMYFUNCTION("""COMPUTED_VALUE"""),"43K")</f>
        <v>43K</v>
      </c>
      <c r="B44" s="108" t="str">
        <f ca="1">IFERROR(__xludf.DUMMYFUNCTION("""COMPUTED_VALUE"""),"N.A.")</f>
        <v>N.A.</v>
      </c>
      <c r="C44" s="108" t="str">
        <f ca="1">IFERROR(__xludf.DUMMYFUNCTION("""COMPUTED_VALUE"""),"N.A.")</f>
        <v>N.A.</v>
      </c>
      <c r="D44" s="156" t="str">
        <f t="shared" ca="1" si="1"/>
        <v>N.A.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</row>
    <row r="45" spans="1:53" ht="15" customHeight="1" x14ac:dyDescent="0.25">
      <c r="A45" s="108" t="str">
        <f ca="1">IFERROR(__xludf.DUMMYFUNCTION("""COMPUTED_VALUE"""),"44K")</f>
        <v>44K</v>
      </c>
      <c r="B45" s="108">
        <f ca="1">IFERROR(__xludf.DUMMYFUNCTION("""COMPUTED_VALUE"""),64)</f>
        <v>64</v>
      </c>
      <c r="C45" s="108">
        <f ca="1">IFERROR(__xludf.DUMMYFUNCTION("""COMPUTED_VALUE"""),53)</f>
        <v>53</v>
      </c>
      <c r="D45" s="156">
        <f t="shared" ca="1" si="1"/>
        <v>82.8125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</row>
    <row r="46" spans="1:53" ht="15" customHeight="1" x14ac:dyDescent="0.25">
      <c r="A46" s="108" t="str">
        <f ca="1">IFERROR(__xludf.DUMMYFUNCTION("""COMPUTED_VALUE"""),"45K")</f>
        <v>45K</v>
      </c>
      <c r="B46" s="108">
        <f ca="1">IFERROR(__xludf.DUMMYFUNCTION("""COMPUTED_VALUE"""),107)</f>
        <v>107</v>
      </c>
      <c r="C46" s="108">
        <f ca="1">IFERROR(__xludf.DUMMYFUNCTION("""COMPUTED_VALUE"""),106)</f>
        <v>106</v>
      </c>
      <c r="D46" s="156">
        <f t="shared" ca="1" si="1"/>
        <v>99.065420560747668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</row>
    <row r="47" spans="1:53" ht="15" customHeight="1" x14ac:dyDescent="0.25">
      <c r="A47" s="108" t="str">
        <f ca="1">IFERROR(__xludf.DUMMYFUNCTION("""COMPUTED_VALUE"""),"46K")</f>
        <v>46K</v>
      </c>
      <c r="B47" s="108" t="str">
        <f ca="1">IFERROR(__xludf.DUMMYFUNCTION("""COMPUTED_VALUE"""),"N.A.")</f>
        <v>N.A.</v>
      </c>
      <c r="C47" s="108" t="str">
        <f ca="1">IFERROR(__xludf.DUMMYFUNCTION("""COMPUTED_VALUE"""),"N.A.")</f>
        <v>N.A.</v>
      </c>
      <c r="D47" s="156" t="str">
        <f t="shared" ca="1" si="1"/>
        <v>N.A.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</row>
    <row r="48" spans="1:53" ht="15" customHeight="1" x14ac:dyDescent="0.25">
      <c r="A48" s="108" t="str">
        <f ca="1">IFERROR(__xludf.DUMMYFUNCTION("""COMPUTED_VALUE"""),"47K")</f>
        <v>47K</v>
      </c>
      <c r="B48" s="108" t="str">
        <f ca="1">IFERROR(__xludf.DUMMYFUNCTION("""COMPUTED_VALUE"""),"N.A.")</f>
        <v>N.A.</v>
      </c>
      <c r="C48" s="108" t="str">
        <f ca="1">IFERROR(__xludf.DUMMYFUNCTION("""COMPUTED_VALUE"""),"N.A.")</f>
        <v>N.A.</v>
      </c>
      <c r="D48" s="156" t="str">
        <f t="shared" ca="1" si="1"/>
        <v>N.A.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</row>
    <row r="49" spans="1:53" ht="15" customHeight="1" x14ac:dyDescent="0.25">
      <c r="A49" s="108" t="str">
        <f ca="1">IFERROR(__xludf.DUMMYFUNCTION("""COMPUTED_VALUE"""),"48K")</f>
        <v>48K</v>
      </c>
      <c r="B49" s="108" t="str">
        <f ca="1">IFERROR(__xludf.DUMMYFUNCTION("""COMPUTED_VALUE"""),"N.A.")</f>
        <v>N.A.</v>
      </c>
      <c r="C49" s="108" t="str">
        <f ca="1">IFERROR(__xludf.DUMMYFUNCTION("""COMPUTED_VALUE"""),"N.A.")</f>
        <v>N.A.</v>
      </c>
      <c r="D49" s="156" t="str">
        <f t="shared" ca="1" si="1"/>
        <v>N.A.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</row>
    <row r="50" spans="1:53" ht="15" customHeight="1" x14ac:dyDescent="0.25">
      <c r="A50" s="108" t="str">
        <f ca="1">IFERROR(__xludf.DUMMYFUNCTION("""COMPUTED_VALUE"""),"49K")</f>
        <v>49K</v>
      </c>
      <c r="B50" s="108">
        <f ca="1">IFERROR(__xludf.DUMMYFUNCTION("""COMPUTED_VALUE"""),80)</f>
        <v>80</v>
      </c>
      <c r="C50" s="108">
        <f ca="1">IFERROR(__xludf.DUMMYFUNCTION("""COMPUTED_VALUE"""),80)</f>
        <v>80</v>
      </c>
      <c r="D50" s="156">
        <f t="shared" ca="1" si="1"/>
        <v>100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</row>
    <row r="51" spans="1:53" ht="15" customHeight="1" x14ac:dyDescent="0.25">
      <c r="A51" s="108" t="str">
        <f ca="1">IFERROR(__xludf.DUMMYFUNCTION("""COMPUTED_VALUE"""),"50K")</f>
        <v>50K</v>
      </c>
      <c r="B51" s="108">
        <f ca="1">IFERROR(__xludf.DUMMYFUNCTION("""COMPUTED_VALUE"""),32)</f>
        <v>32</v>
      </c>
      <c r="C51" s="108">
        <f ca="1">IFERROR(__xludf.DUMMYFUNCTION("""COMPUTED_VALUE"""),32)</f>
        <v>32</v>
      </c>
      <c r="D51" s="156">
        <f t="shared" ca="1" si="1"/>
        <v>100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</row>
    <row r="52" spans="1:53" ht="15" customHeight="1" x14ac:dyDescent="0.25">
      <c r="A52" s="108" t="str">
        <f ca="1">IFERROR(__xludf.DUMMYFUNCTION("""COMPUTED_VALUE"""),"51P")</f>
        <v>51P</v>
      </c>
      <c r="B52" s="108" t="str">
        <f ca="1">IFERROR(__xludf.DUMMYFUNCTION("""COMPUTED_VALUE"""),"N.A.")</f>
        <v>N.A.</v>
      </c>
      <c r="C52" s="108" t="str">
        <f ca="1">IFERROR(__xludf.DUMMYFUNCTION("""COMPUTED_VALUE"""),"N.A.")</f>
        <v>N.A.</v>
      </c>
      <c r="D52" s="156" t="str">
        <f t="shared" ca="1" si="1"/>
        <v>N.A.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</row>
    <row r="53" spans="1:53" ht="15" customHeight="1" x14ac:dyDescent="0.25">
      <c r="A53" s="108" t="str">
        <f ca="1">IFERROR(__xludf.DUMMYFUNCTION("""COMPUTED_VALUE"""),"52K")</f>
        <v>52K</v>
      </c>
      <c r="B53" s="108" t="str">
        <f ca="1">IFERROR(__xludf.DUMMYFUNCTION("""COMPUTED_VALUE"""),"N.A.")</f>
        <v>N.A.</v>
      </c>
      <c r="C53" s="108" t="str">
        <f ca="1">IFERROR(__xludf.DUMMYFUNCTION("""COMPUTED_VALUE"""),"N.A.")</f>
        <v>N.A.</v>
      </c>
      <c r="D53" s="156" t="str">
        <f t="shared" ca="1" si="1"/>
        <v>N.A.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</row>
    <row r="54" spans="1:53" ht="15" customHeight="1" x14ac:dyDescent="0.25">
      <c r="A54" s="108" t="str">
        <f ca="1">IFERROR(__xludf.DUMMYFUNCTION("""COMPUTED_VALUE"""),"53K")</f>
        <v>53K</v>
      </c>
      <c r="B54" s="108">
        <f ca="1">IFERROR(__xludf.DUMMYFUNCTION("""COMPUTED_VALUE"""),78)</f>
        <v>78</v>
      </c>
      <c r="C54" s="108">
        <f ca="1">IFERROR(__xludf.DUMMYFUNCTION("""COMPUTED_VALUE"""),77)</f>
        <v>77</v>
      </c>
      <c r="D54" s="156">
        <f t="shared" ca="1" si="1"/>
        <v>98.71794871794873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</row>
    <row r="55" spans="1:53" ht="15" customHeight="1" x14ac:dyDescent="0.25">
      <c r="A55" s="108" t="str">
        <f ca="1">IFERROR(__xludf.DUMMYFUNCTION("""COMPUTED_VALUE"""),"54K")</f>
        <v>54K</v>
      </c>
      <c r="B55" s="108">
        <f ca="1">IFERROR(__xludf.DUMMYFUNCTION("""COMPUTED_VALUE"""),130)</f>
        <v>130</v>
      </c>
      <c r="C55" s="108">
        <f ca="1">IFERROR(__xludf.DUMMYFUNCTION("""COMPUTED_VALUE"""),124)</f>
        <v>124</v>
      </c>
      <c r="D55" s="156">
        <f t="shared" ca="1" si="1"/>
        <v>95.384615384615387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</row>
    <row r="56" spans="1:53" ht="15" customHeight="1" x14ac:dyDescent="0.25">
      <c r="A56" s="108" t="str">
        <f ca="1">IFERROR(__xludf.DUMMYFUNCTION("""COMPUTED_VALUE"""),"55K")</f>
        <v>55K</v>
      </c>
      <c r="B56" s="108">
        <f ca="1">IFERROR(__xludf.DUMMYFUNCTION("""COMPUTED_VALUE"""),108)</f>
        <v>108</v>
      </c>
      <c r="C56" s="108">
        <f ca="1">IFERROR(__xludf.DUMMYFUNCTION("""COMPUTED_VALUE"""),108)</f>
        <v>108</v>
      </c>
      <c r="D56" s="156">
        <f t="shared" ca="1" si="1"/>
        <v>100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</row>
    <row r="57" spans="1:53" ht="15" customHeight="1" x14ac:dyDescent="0.25">
      <c r="A57" s="108" t="str">
        <f ca="1">IFERROR(__xludf.DUMMYFUNCTION("""COMPUTED_VALUE"""),"56K")</f>
        <v>56K</v>
      </c>
      <c r="B57" s="108">
        <f ca="1">IFERROR(__xludf.DUMMYFUNCTION("""COMPUTED_VALUE"""),67)</f>
        <v>67</v>
      </c>
      <c r="C57" s="108">
        <f ca="1">IFERROR(__xludf.DUMMYFUNCTION("""COMPUTED_VALUE"""),63)</f>
        <v>63</v>
      </c>
      <c r="D57" s="156">
        <f t="shared" ca="1" si="1"/>
        <v>94.029850746268664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</row>
    <row r="58" spans="1:53" ht="15" customHeight="1" x14ac:dyDescent="0.25">
      <c r="A58" s="108" t="str">
        <f ca="1">IFERROR(__xludf.DUMMYFUNCTION("""COMPUTED_VALUE"""),"57K")</f>
        <v>57K</v>
      </c>
      <c r="B58" s="108">
        <f ca="1">IFERROR(__xludf.DUMMYFUNCTION("""COMPUTED_VALUE"""),108)</f>
        <v>108</v>
      </c>
      <c r="C58" s="108">
        <f ca="1">IFERROR(__xludf.DUMMYFUNCTION("""COMPUTED_VALUE"""),108)</f>
        <v>108</v>
      </c>
      <c r="D58" s="156">
        <f t="shared" ca="1" si="1"/>
        <v>100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</row>
    <row r="59" spans="1:53" ht="15" customHeight="1" x14ac:dyDescent="0.25">
      <c r="A59" s="108" t="str">
        <f ca="1">IFERROR(__xludf.DUMMYFUNCTION("""COMPUTED_VALUE"""),"58K")</f>
        <v>58K</v>
      </c>
      <c r="B59" s="108">
        <f ca="1">IFERROR(__xludf.DUMMYFUNCTION("""COMPUTED_VALUE"""),98)</f>
        <v>98</v>
      </c>
      <c r="C59" s="108">
        <f ca="1">IFERROR(__xludf.DUMMYFUNCTION("""COMPUTED_VALUE"""),93)</f>
        <v>93</v>
      </c>
      <c r="D59" s="156">
        <f t="shared" ca="1" si="1"/>
        <v>94.897959183673478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</row>
    <row r="60" spans="1:53" ht="15" customHeight="1" x14ac:dyDescent="0.25">
      <c r="A60" s="108" t="str">
        <f ca="1">IFERROR(__xludf.DUMMYFUNCTION("""COMPUTED_VALUE"""),"59K")</f>
        <v>59K</v>
      </c>
      <c r="B60" s="108" t="str">
        <f ca="1">IFERROR(__xludf.DUMMYFUNCTION("""COMPUTED_VALUE"""),"N.A.")</f>
        <v>N.A.</v>
      </c>
      <c r="C60" s="108" t="str">
        <f ca="1">IFERROR(__xludf.DUMMYFUNCTION("""COMPUTED_VALUE"""),"N.A.")</f>
        <v>N.A.</v>
      </c>
      <c r="D60" s="156" t="str">
        <f t="shared" ca="1" si="1"/>
        <v>N.A.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</row>
    <row r="61" spans="1:53" ht="15" customHeight="1" x14ac:dyDescent="0.25">
      <c r="A61" s="108" t="str">
        <f ca="1">IFERROR(__xludf.DUMMYFUNCTION("""COMPUTED_VALUE"""),"60P")</f>
        <v>60P</v>
      </c>
      <c r="B61" s="108" t="str">
        <f ca="1">IFERROR(__xludf.DUMMYFUNCTION("""COMPUTED_VALUE"""),"N.A.")</f>
        <v>N.A.</v>
      </c>
      <c r="C61" s="108" t="str">
        <f ca="1">IFERROR(__xludf.DUMMYFUNCTION("""COMPUTED_VALUE"""),"N.A.")</f>
        <v>N.A.</v>
      </c>
      <c r="D61" s="156" t="str">
        <f t="shared" ca="1" si="1"/>
        <v>N.A.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</row>
    <row r="62" spans="1:53" ht="15" customHeight="1" x14ac:dyDescent="0.25">
      <c r="A62" s="108" t="str">
        <f ca="1">IFERROR(__xludf.DUMMYFUNCTION("""COMPUTED_VALUE"""),"61K")</f>
        <v>61K</v>
      </c>
      <c r="B62" s="108" t="str">
        <f ca="1">IFERROR(__xludf.DUMMYFUNCTION("""COMPUTED_VALUE"""),"N.A.")</f>
        <v>N.A.</v>
      </c>
      <c r="C62" s="108" t="str">
        <f ca="1">IFERROR(__xludf.DUMMYFUNCTION("""COMPUTED_VALUE"""),"N.A.")</f>
        <v>N.A.</v>
      </c>
      <c r="D62" s="156" t="str">
        <f t="shared" ca="1" si="1"/>
        <v>N.A.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</row>
    <row r="63" spans="1:53" ht="15" customHeight="1" x14ac:dyDescent="0.25">
      <c r="A63" s="108" t="str">
        <f ca="1">IFERROR(__xludf.DUMMYFUNCTION("""COMPUTED_VALUE"""),"62K")</f>
        <v>62K</v>
      </c>
      <c r="B63" s="108">
        <f ca="1">IFERROR(__xludf.DUMMYFUNCTION("""COMPUTED_VALUE"""),66)</f>
        <v>66</v>
      </c>
      <c r="C63" s="108">
        <f ca="1">IFERROR(__xludf.DUMMYFUNCTION("""COMPUTED_VALUE"""),66)</f>
        <v>66</v>
      </c>
      <c r="D63" s="156">
        <f t="shared" ca="1" si="1"/>
        <v>100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</row>
    <row r="64" spans="1:53" ht="15" customHeight="1" x14ac:dyDescent="0.25">
      <c r="A64" s="108" t="str">
        <f ca="1">IFERROR(__xludf.DUMMYFUNCTION("""COMPUTED_VALUE"""),"63K")</f>
        <v>63K</v>
      </c>
      <c r="B64" s="108">
        <f ca="1">IFERROR(__xludf.DUMMYFUNCTION("""COMPUTED_VALUE"""),97)</f>
        <v>97</v>
      </c>
      <c r="C64" s="108">
        <f ca="1">IFERROR(__xludf.DUMMYFUNCTION("""COMPUTED_VALUE"""),94)</f>
        <v>94</v>
      </c>
      <c r="D64" s="156">
        <f t="shared" ca="1" si="1"/>
        <v>96.907216494845358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</row>
    <row r="65" spans="1:53" ht="15" customHeight="1" x14ac:dyDescent="0.25">
      <c r="A65" s="108" t="str">
        <f ca="1">IFERROR(__xludf.DUMMYFUNCTION("""COMPUTED_VALUE"""),"64P")</f>
        <v>64P</v>
      </c>
      <c r="B65" s="108">
        <f ca="1">IFERROR(__xludf.DUMMYFUNCTION("""COMPUTED_VALUE"""),70)</f>
        <v>70</v>
      </c>
      <c r="C65" s="108">
        <f ca="1">IFERROR(__xludf.DUMMYFUNCTION("""COMPUTED_VALUE"""),70)</f>
        <v>70</v>
      </c>
      <c r="D65" s="156">
        <f t="shared" ca="1" si="1"/>
        <v>100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</row>
    <row r="66" spans="1:53" ht="15" customHeight="1" x14ac:dyDescent="0.25">
      <c r="A66" s="108" t="str">
        <f ca="1">IFERROR(__xludf.DUMMYFUNCTION("""COMPUTED_VALUE"""),"65K")</f>
        <v>65K</v>
      </c>
      <c r="B66" s="108">
        <f ca="1">IFERROR(__xludf.DUMMYFUNCTION("""COMPUTED_VALUE"""),71)</f>
        <v>71</v>
      </c>
      <c r="C66" s="108">
        <f ca="1">IFERROR(__xludf.DUMMYFUNCTION("""COMPUTED_VALUE"""),53)</f>
        <v>53</v>
      </c>
      <c r="D66" s="156">
        <f t="shared" ca="1" si="1"/>
        <v>74.647887323943664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</row>
    <row r="67" spans="1:53" ht="15" customHeight="1" x14ac:dyDescent="0.25">
      <c r="A67" s="108" t="str">
        <f ca="1">IFERROR(__xludf.DUMMYFUNCTION("""COMPUTED_VALUE"""),"66P")</f>
        <v>66P</v>
      </c>
      <c r="B67" s="108">
        <f ca="1">IFERROR(__xludf.DUMMYFUNCTION("""COMPUTED_VALUE"""),94)</f>
        <v>94</v>
      </c>
      <c r="C67" s="108">
        <f ca="1">IFERROR(__xludf.DUMMYFUNCTION("""COMPUTED_VALUE"""),94)</f>
        <v>94</v>
      </c>
      <c r="D67" s="156">
        <f t="shared" ca="1" si="1"/>
        <v>100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</row>
    <row r="68" spans="1:53" ht="15" customHeight="1" x14ac:dyDescent="0.25">
      <c r="A68" s="108" t="str">
        <f ca="1">IFERROR(__xludf.DUMMYFUNCTION("""COMPUTED_VALUE"""),"67K")</f>
        <v>67K</v>
      </c>
      <c r="B68" s="108">
        <f ca="1">IFERROR(__xludf.DUMMYFUNCTION("""COMPUTED_VALUE"""),82)</f>
        <v>82</v>
      </c>
      <c r="C68" s="108">
        <f ca="1">IFERROR(__xludf.DUMMYFUNCTION("""COMPUTED_VALUE"""),79)</f>
        <v>79</v>
      </c>
      <c r="D68" s="156">
        <f t="shared" ca="1" si="1"/>
        <v>96.341463414634148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</row>
    <row r="69" spans="1:53" ht="14.25" customHeight="1" x14ac:dyDescent="0.25">
      <c r="A69" s="108" t="str">
        <f ca="1">IFERROR(__xludf.DUMMYFUNCTION("""COMPUTED_VALUE"""),"68K")</f>
        <v>68K</v>
      </c>
      <c r="B69" s="108">
        <f ca="1">IFERROR(__xludf.DUMMYFUNCTION("""COMPUTED_VALUE"""),94)</f>
        <v>94</v>
      </c>
      <c r="C69" s="108">
        <f ca="1">IFERROR(__xludf.DUMMYFUNCTION("""COMPUTED_VALUE"""),94)</f>
        <v>94</v>
      </c>
      <c r="D69" s="156">
        <f t="shared" ca="1" si="1"/>
        <v>100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</row>
    <row r="70" spans="1:53" ht="14.25" customHeight="1" x14ac:dyDescent="0.25">
      <c r="A70" s="108" t="str">
        <f ca="1">IFERROR(__xludf.DUMMYFUNCTION("""COMPUTED_VALUE"""),"69K")</f>
        <v>69K</v>
      </c>
      <c r="B70" s="108">
        <f ca="1">IFERROR(__xludf.DUMMYFUNCTION("""COMPUTED_VALUE"""),68)</f>
        <v>68</v>
      </c>
      <c r="C70" s="108">
        <f ca="1">IFERROR(__xludf.DUMMYFUNCTION("""COMPUTED_VALUE"""),67)</f>
        <v>67</v>
      </c>
      <c r="D70" s="156">
        <f t="shared" ca="1" si="1"/>
        <v>98.529411764705884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</row>
    <row r="71" spans="1:53" ht="14.25" customHeight="1" x14ac:dyDescent="0.25">
      <c r="A71" s="108" t="str">
        <f ca="1">IFERROR(__xludf.DUMMYFUNCTION("""COMPUTED_VALUE"""),"70P")</f>
        <v>70P</v>
      </c>
      <c r="B71" s="108">
        <f ca="1">IFERROR(__xludf.DUMMYFUNCTION("""COMPUTED_VALUE"""),104)</f>
        <v>104</v>
      </c>
      <c r="C71" s="108">
        <f ca="1">IFERROR(__xludf.DUMMYFUNCTION("""COMPUTED_VALUE"""),100)</f>
        <v>100</v>
      </c>
      <c r="D71" s="156">
        <f t="shared" ca="1" si="1"/>
        <v>96.15384615384616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</row>
    <row r="72" spans="1:53" ht="14.25" customHeight="1" x14ac:dyDescent="0.25">
      <c r="A72" s="108" t="str">
        <f ca="1">IFERROR(__xludf.DUMMYFUNCTION("""COMPUTED_VALUE"""),"71P")</f>
        <v>71P</v>
      </c>
      <c r="B72" s="108">
        <f ca="1">IFERROR(__xludf.DUMMYFUNCTION("""COMPUTED_VALUE"""),93)</f>
        <v>93</v>
      </c>
      <c r="C72" s="108">
        <f ca="1">IFERROR(__xludf.DUMMYFUNCTION("""COMPUTED_VALUE"""),88)</f>
        <v>88</v>
      </c>
      <c r="D72" s="156">
        <f t="shared" ca="1" si="1"/>
        <v>94.623655913978496</v>
      </c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</row>
    <row r="73" spans="1:53" ht="14.25" customHeight="1" x14ac:dyDescent="0.25">
      <c r="A73" s="108" t="str">
        <f ca="1">IFERROR(__xludf.DUMMYFUNCTION("""COMPUTED_VALUE"""),"72K")</f>
        <v>72K</v>
      </c>
      <c r="B73" s="108">
        <f ca="1">IFERROR(__xludf.DUMMYFUNCTION("""COMPUTED_VALUE"""),118)</f>
        <v>118</v>
      </c>
      <c r="C73" s="108">
        <f ca="1">IFERROR(__xludf.DUMMYFUNCTION("""COMPUTED_VALUE"""),114)</f>
        <v>114</v>
      </c>
      <c r="D73" s="156">
        <f t="shared" ca="1" si="1"/>
        <v>96.610169491525426</v>
      </c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</row>
    <row r="74" spans="1:53" ht="14.25" customHeight="1" x14ac:dyDescent="0.25">
      <c r="A74" s="108" t="str">
        <f ca="1">IFERROR(__xludf.DUMMYFUNCTION("""COMPUTED_VALUE"""),"73K")</f>
        <v>73K</v>
      </c>
      <c r="B74" s="108">
        <f ca="1">IFERROR(__xludf.DUMMYFUNCTION("""COMPUTED_VALUE"""),83)</f>
        <v>83</v>
      </c>
      <c r="C74" s="108">
        <f ca="1">IFERROR(__xludf.DUMMYFUNCTION("""COMPUTED_VALUE"""),83)</f>
        <v>83</v>
      </c>
      <c r="D74" s="156">
        <f t="shared" ca="1" si="1"/>
        <v>100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</row>
    <row r="75" spans="1:53" ht="14.25" customHeight="1" x14ac:dyDescent="0.25">
      <c r="A75" s="108" t="str">
        <f ca="1">IFERROR(__xludf.DUMMYFUNCTION("""COMPUTED_VALUE"""),"74K")</f>
        <v>74K</v>
      </c>
      <c r="B75" s="108" t="str">
        <f ca="1">IFERROR(__xludf.DUMMYFUNCTION("""COMPUTED_VALUE"""),"N.A.")</f>
        <v>N.A.</v>
      </c>
      <c r="C75" s="108" t="str">
        <f ca="1">IFERROR(__xludf.DUMMYFUNCTION("""COMPUTED_VALUE"""),"N.A.")</f>
        <v>N.A.</v>
      </c>
      <c r="D75" s="156" t="str">
        <f t="shared" ca="1" si="1"/>
        <v>N.A.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</row>
    <row r="76" spans="1:53" ht="14.25" customHeight="1" x14ac:dyDescent="0.25">
      <c r="A76" s="108" t="str">
        <f ca="1">IFERROR(__xludf.DUMMYFUNCTION("""COMPUTED_VALUE"""),"75K")</f>
        <v>75K</v>
      </c>
      <c r="B76" s="108">
        <f ca="1">IFERROR(__xludf.DUMMYFUNCTION("""COMPUTED_VALUE"""),51)</f>
        <v>51</v>
      </c>
      <c r="C76" s="108">
        <f ca="1">IFERROR(__xludf.DUMMYFUNCTION("""COMPUTED_VALUE"""),50)</f>
        <v>50</v>
      </c>
      <c r="D76" s="156">
        <f t="shared" ca="1" si="1"/>
        <v>98.039215686274503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</row>
    <row r="77" spans="1:53" ht="14.25" customHeight="1" x14ac:dyDescent="0.25">
      <c r="A77" s="108" t="str">
        <f ca="1">IFERROR(__xludf.DUMMYFUNCTION("""COMPUTED_VALUE"""),"77P")</f>
        <v>77P</v>
      </c>
      <c r="B77" s="108" t="str">
        <f ca="1">IFERROR(__xludf.DUMMYFUNCTION("""COMPUTED_VALUE"""),"N.A.")</f>
        <v>N.A.</v>
      </c>
      <c r="C77" s="108" t="str">
        <f ca="1">IFERROR(__xludf.DUMMYFUNCTION("""COMPUTED_VALUE"""),"N.A.")</f>
        <v>N.A.</v>
      </c>
      <c r="D77" s="156" t="str">
        <f t="shared" ca="1" si="1"/>
        <v>N.A.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</row>
    <row r="78" spans="1:53" ht="14.25" customHeight="1" x14ac:dyDescent="0.25">
      <c r="A78" s="108" t="str">
        <f ca="1">IFERROR(__xludf.DUMMYFUNCTION("""COMPUTED_VALUE"""),"78K")</f>
        <v>78K</v>
      </c>
      <c r="B78" s="108">
        <f ca="1">IFERROR(__xludf.DUMMYFUNCTION("""COMPUTED_VALUE"""),62)</f>
        <v>62</v>
      </c>
      <c r="C78" s="108">
        <f ca="1">IFERROR(__xludf.DUMMYFUNCTION("""COMPUTED_VALUE"""),59)</f>
        <v>59</v>
      </c>
      <c r="D78" s="156">
        <f t="shared" ca="1" si="1"/>
        <v>95.161290322580655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</row>
    <row r="79" spans="1:53" ht="14.25" customHeight="1" x14ac:dyDescent="0.25">
      <c r="A79" s="108" t="str">
        <f ca="1">IFERROR(__xludf.DUMMYFUNCTION("""COMPUTED_VALUE"""),"79P")</f>
        <v>79P</v>
      </c>
      <c r="B79" s="108">
        <f ca="1">IFERROR(__xludf.DUMMYFUNCTION("""COMPUTED_VALUE"""),88)</f>
        <v>88</v>
      </c>
      <c r="C79" s="108">
        <f ca="1">IFERROR(__xludf.DUMMYFUNCTION("""COMPUTED_VALUE"""),88)</f>
        <v>88</v>
      </c>
      <c r="D79" s="156">
        <f t="shared" ca="1" si="1"/>
        <v>100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</row>
    <row r="80" spans="1:53" ht="14.25" customHeight="1" x14ac:dyDescent="0.25">
      <c r="A80" s="108" t="str">
        <f ca="1">IFERROR(__xludf.DUMMYFUNCTION("""COMPUTED_VALUE"""),"80P")</f>
        <v>80P</v>
      </c>
      <c r="B80" s="108" t="str">
        <f ca="1">IFERROR(__xludf.DUMMYFUNCTION("""COMPUTED_VALUE"""),"N.A.")</f>
        <v>N.A.</v>
      </c>
      <c r="C80" s="108" t="str">
        <f ca="1">IFERROR(__xludf.DUMMYFUNCTION("""COMPUTED_VALUE"""),"N.A.")</f>
        <v>N.A.</v>
      </c>
      <c r="D80" s="156" t="str">
        <f t="shared" ca="1" si="1"/>
        <v>N.A.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</row>
    <row r="81" spans="1:53" ht="14.25" customHeight="1" x14ac:dyDescent="0.25">
      <c r="A81" s="108" t="str">
        <f ca="1">IFERROR(__xludf.DUMMYFUNCTION("""COMPUTED_VALUE"""),"82K")</f>
        <v>82K</v>
      </c>
      <c r="B81" s="108" t="str">
        <f ca="1">IFERROR(__xludf.DUMMYFUNCTION("""COMPUTED_VALUE"""),"N.A.")</f>
        <v>N.A.</v>
      </c>
      <c r="C81" s="108" t="str">
        <f ca="1">IFERROR(__xludf.DUMMYFUNCTION("""COMPUTED_VALUE"""),"N.A.")</f>
        <v>N.A.</v>
      </c>
      <c r="D81" s="156" t="str">
        <f t="shared" ca="1" si="1"/>
        <v>N.A.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</row>
    <row r="82" spans="1:53" ht="14.25" customHeight="1" x14ac:dyDescent="0.25">
      <c r="A82" s="108" t="str">
        <f ca="1">IFERROR(__xludf.DUMMYFUNCTION("""COMPUTED_VALUE"""),"85P")</f>
        <v>85P</v>
      </c>
      <c r="B82" s="108">
        <f ca="1">IFERROR(__xludf.DUMMYFUNCTION("""COMPUTED_VALUE"""),93)</f>
        <v>93</v>
      </c>
      <c r="C82" s="108">
        <f ca="1">IFERROR(__xludf.DUMMYFUNCTION("""COMPUTED_VALUE"""),92)</f>
        <v>92</v>
      </c>
      <c r="D82" s="156">
        <f t="shared" ca="1" si="1"/>
        <v>98.924731182795696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</row>
    <row r="83" spans="1:53" ht="14.25" customHeight="1" x14ac:dyDescent="0.25">
      <c r="A83" s="108" t="str">
        <f ca="1">IFERROR(__xludf.DUMMYFUNCTION("""COMPUTED_VALUE"""),"86K")</f>
        <v>86K</v>
      </c>
      <c r="B83" s="108">
        <f ca="1">IFERROR(__xludf.DUMMYFUNCTION("""COMPUTED_VALUE"""),72)</f>
        <v>72</v>
      </c>
      <c r="C83" s="108">
        <f ca="1">IFERROR(__xludf.DUMMYFUNCTION("""COMPUTED_VALUE"""),71)</f>
        <v>71</v>
      </c>
      <c r="D83" s="156">
        <f t="shared" ca="1" si="1"/>
        <v>98.611111111111114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</row>
    <row r="84" spans="1:53" ht="14.25" customHeight="1" x14ac:dyDescent="0.25">
      <c r="A84" s="108" t="str">
        <f ca="1">IFERROR(__xludf.DUMMYFUNCTION("""COMPUTED_VALUE"""),"87P")</f>
        <v>87P</v>
      </c>
      <c r="B84" s="108">
        <f ca="1">IFERROR(__xludf.DUMMYFUNCTION("""COMPUTED_VALUE"""),80)</f>
        <v>80</v>
      </c>
      <c r="C84" s="108">
        <f ca="1">IFERROR(__xludf.DUMMYFUNCTION("""COMPUTED_VALUE"""),78)</f>
        <v>78</v>
      </c>
      <c r="D84" s="156">
        <f t="shared" ca="1" si="1"/>
        <v>97.5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</row>
    <row r="85" spans="1:53" ht="14.25" customHeight="1" x14ac:dyDescent="0.25">
      <c r="A85" s="108" t="str">
        <f ca="1">IFERROR(__xludf.DUMMYFUNCTION("""COMPUTED_VALUE"""),"88K")</f>
        <v>88K</v>
      </c>
      <c r="B85" s="108" t="str">
        <f ca="1">IFERROR(__xludf.DUMMYFUNCTION("""COMPUTED_VALUE"""),"N.A.")</f>
        <v>N.A.</v>
      </c>
      <c r="C85" s="108" t="str">
        <f ca="1">IFERROR(__xludf.DUMMYFUNCTION("""COMPUTED_VALUE"""),"N.A.")</f>
        <v>N.A.</v>
      </c>
      <c r="D85" s="156" t="str">
        <f t="shared" ca="1" si="1"/>
        <v>N.A.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</row>
    <row r="86" spans="1:53" ht="14.25" customHeight="1" x14ac:dyDescent="0.25">
      <c r="A86" s="108" t="str">
        <f ca="1">IFERROR(__xludf.DUMMYFUNCTION("""COMPUTED_VALUE"""),"89P")</f>
        <v>89P</v>
      </c>
      <c r="B86" s="108" t="str">
        <f ca="1">IFERROR(__xludf.DUMMYFUNCTION("""COMPUTED_VALUE"""),"N.A.")</f>
        <v>N.A.</v>
      </c>
      <c r="C86" s="108" t="str">
        <f ca="1">IFERROR(__xludf.DUMMYFUNCTION("""COMPUTED_VALUE"""),"N.A.")</f>
        <v>N.A.</v>
      </c>
      <c r="D86" s="156" t="str">
        <f t="shared" ca="1" si="1"/>
        <v>N.A.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</row>
    <row r="87" spans="1:53" ht="14.25" customHeight="1" x14ac:dyDescent="0.25">
      <c r="A87" s="108" t="str">
        <f ca="1">IFERROR(__xludf.DUMMYFUNCTION("""COMPUTED_VALUE"""),"91K")</f>
        <v>91K</v>
      </c>
      <c r="B87" s="108">
        <f ca="1">IFERROR(__xludf.DUMMYFUNCTION("""COMPUTED_VALUE"""),92)</f>
        <v>92</v>
      </c>
      <c r="C87" s="108">
        <f ca="1">IFERROR(__xludf.DUMMYFUNCTION("""COMPUTED_VALUE"""),89)</f>
        <v>89</v>
      </c>
      <c r="D87" s="156">
        <f t="shared" ca="1" si="1"/>
        <v>96.739130434782609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</row>
    <row r="88" spans="1:53" ht="14.25" customHeight="1" x14ac:dyDescent="0.25">
      <c r="A88" s="108" t="str">
        <f ca="1">IFERROR(__xludf.DUMMYFUNCTION("""COMPUTED_VALUE"""),"92P")</f>
        <v>92P</v>
      </c>
      <c r="B88" s="108" t="str">
        <f ca="1">IFERROR(__xludf.DUMMYFUNCTION("""COMPUTED_VALUE"""),"N.A.")</f>
        <v>N.A.</v>
      </c>
      <c r="C88" s="108" t="str">
        <f ca="1">IFERROR(__xludf.DUMMYFUNCTION("""COMPUTED_VALUE"""),"N.A.")</f>
        <v>N.A.</v>
      </c>
      <c r="D88" s="156" t="str">
        <f t="shared" ca="1" si="1"/>
        <v>N.A.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</row>
    <row r="89" spans="1:53" ht="14.25" customHeight="1" x14ac:dyDescent="0.25">
      <c r="A89" s="108" t="str">
        <f ca="1">IFERROR(__xludf.DUMMYFUNCTION("""COMPUTED_VALUE"""),"96P")</f>
        <v>96P</v>
      </c>
      <c r="B89" s="108">
        <f ca="1">IFERROR(__xludf.DUMMYFUNCTION("""COMPUTED_VALUE"""),74)</f>
        <v>74</v>
      </c>
      <c r="C89" s="108">
        <f ca="1">IFERROR(__xludf.DUMMYFUNCTION("""COMPUTED_VALUE"""),18)</f>
        <v>18</v>
      </c>
      <c r="D89" s="156">
        <f t="shared" ca="1" si="1"/>
        <v>24.324324324324326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</row>
    <row r="90" spans="1:53" ht="14.25" customHeight="1" x14ac:dyDescent="0.25">
      <c r="A90" s="108" t="str">
        <f ca="1">IFERROR(__xludf.DUMMYFUNCTION("""COMPUTED_VALUE"""),"97P")</f>
        <v>97P</v>
      </c>
      <c r="B90" s="108">
        <f ca="1">IFERROR(__xludf.DUMMYFUNCTION("""COMPUTED_VALUE"""),71)</f>
        <v>71</v>
      </c>
      <c r="C90" s="108">
        <f ca="1">IFERROR(__xludf.DUMMYFUNCTION("""COMPUTED_VALUE"""),70)</f>
        <v>70</v>
      </c>
      <c r="D90" s="156">
        <f t="shared" ca="1" si="1"/>
        <v>98.591549295774655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</row>
    <row r="91" spans="1:53" ht="14.25" customHeight="1" x14ac:dyDescent="0.25">
      <c r="A91" s="108" t="str">
        <f ca="1">IFERROR(__xludf.DUMMYFUNCTION("""COMPUTED_VALUE"""),"98P")</f>
        <v>98P</v>
      </c>
      <c r="B91" s="108">
        <f ca="1">IFERROR(__xludf.DUMMYFUNCTION("""COMPUTED_VALUE"""),104)</f>
        <v>104</v>
      </c>
      <c r="C91" s="108">
        <f ca="1">IFERROR(__xludf.DUMMYFUNCTION("""COMPUTED_VALUE"""),95)</f>
        <v>95</v>
      </c>
      <c r="D91" s="156">
        <f t="shared" ca="1" si="1"/>
        <v>91.34615384615384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</row>
    <row r="92" spans="1:53" ht="14.25" customHeight="1" x14ac:dyDescent="0.25">
      <c r="A92" s="108" t="str">
        <f ca="1">IFERROR(__xludf.DUMMYFUNCTION("""COMPUTED_VALUE"""),"100P")</f>
        <v>100P</v>
      </c>
      <c r="B92" s="108">
        <f ca="1">IFERROR(__xludf.DUMMYFUNCTION("""COMPUTED_VALUE"""),89)</f>
        <v>89</v>
      </c>
      <c r="C92" s="108">
        <f ca="1">IFERROR(__xludf.DUMMYFUNCTION("""COMPUTED_VALUE"""),88)</f>
        <v>88</v>
      </c>
      <c r="D92" s="156">
        <f t="shared" ca="1" si="1"/>
        <v>98.876404494382015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</row>
    <row r="93" spans="1:53" ht="14.25" customHeight="1" x14ac:dyDescent="0.25">
      <c r="A93" s="108" t="str">
        <f ca="1">IFERROR(__xludf.DUMMYFUNCTION("""COMPUTED_VALUE"""),"101P")</f>
        <v>101P</v>
      </c>
      <c r="B93" s="108" t="str">
        <f ca="1">IFERROR(__xludf.DUMMYFUNCTION("""COMPUTED_VALUE"""),"N.A.")</f>
        <v>N.A.</v>
      </c>
      <c r="C93" s="108" t="str">
        <f ca="1">IFERROR(__xludf.DUMMYFUNCTION("""COMPUTED_VALUE"""),"N.A.")</f>
        <v>N.A.</v>
      </c>
      <c r="D93" s="156" t="str">
        <f t="shared" ca="1" si="1"/>
        <v>N.A.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</row>
    <row r="94" spans="1:53" ht="14.25" customHeight="1" x14ac:dyDescent="0.25">
      <c r="A94" s="108" t="str">
        <f ca="1">IFERROR(__xludf.DUMMYFUNCTION("""COMPUTED_VALUE"""),"102P")</f>
        <v>102P</v>
      </c>
      <c r="B94" s="108" t="str">
        <f ca="1">IFERROR(__xludf.DUMMYFUNCTION("""COMPUTED_VALUE"""),"N.A.")</f>
        <v>N.A.</v>
      </c>
      <c r="C94" s="108" t="str">
        <f ca="1">IFERROR(__xludf.DUMMYFUNCTION("""COMPUTED_VALUE"""),"N.A.")</f>
        <v>N.A.</v>
      </c>
      <c r="D94" s="156" t="str">
        <f t="shared" ca="1" si="1"/>
        <v>N.A.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</row>
    <row r="95" spans="1:53" ht="14.25" customHeight="1" x14ac:dyDescent="0.25">
      <c r="A95" s="108" t="str">
        <f ca="1">IFERROR(__xludf.DUMMYFUNCTION("""COMPUTED_VALUE"""),"103K")</f>
        <v>103K</v>
      </c>
      <c r="B95" s="108">
        <f ca="1">IFERROR(__xludf.DUMMYFUNCTION("""COMPUTED_VALUE"""),51)</f>
        <v>51</v>
      </c>
      <c r="C95" s="108">
        <f ca="1">IFERROR(__xludf.DUMMYFUNCTION("""COMPUTED_VALUE"""),50)</f>
        <v>50</v>
      </c>
      <c r="D95" s="156">
        <f t="shared" ca="1" si="1"/>
        <v>98.039215686274503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</row>
    <row r="96" spans="1:53" ht="14.25" customHeight="1" x14ac:dyDescent="0.25">
      <c r="A96" s="108" t="str">
        <f ca="1">IFERROR(__xludf.DUMMYFUNCTION("""COMPUTED_VALUE"""),"104K")</f>
        <v>104K</v>
      </c>
      <c r="B96" s="108" t="str">
        <f ca="1">IFERROR(__xludf.DUMMYFUNCTION("""COMPUTED_VALUE"""),"N.A.")</f>
        <v>N.A.</v>
      </c>
      <c r="C96" s="108" t="str">
        <f ca="1">IFERROR(__xludf.DUMMYFUNCTION("""COMPUTED_VALUE"""),"N.A.")</f>
        <v>N.A.</v>
      </c>
      <c r="D96" s="156" t="str">
        <f t="shared" ca="1" si="1"/>
        <v>N.A.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</row>
    <row r="97" spans="1:53" ht="14.25" customHeight="1" x14ac:dyDescent="0.25">
      <c r="A97" s="108" t="str">
        <f ca="1">IFERROR(__xludf.DUMMYFUNCTION("""COMPUTED_VALUE"""),"105P")</f>
        <v>105P</v>
      </c>
      <c r="B97" s="108" t="str">
        <f ca="1">IFERROR(__xludf.DUMMYFUNCTION("""COMPUTED_VALUE"""),"N.A.")</f>
        <v>N.A.</v>
      </c>
      <c r="C97" s="108" t="str">
        <f ca="1">IFERROR(__xludf.DUMMYFUNCTION("""COMPUTED_VALUE"""),"N.A.")</f>
        <v>N.A.</v>
      </c>
      <c r="D97" s="156" t="str">
        <f t="shared" ca="1" si="1"/>
        <v>N.A.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</row>
    <row r="98" spans="1:53" ht="14.25" customHeight="1" x14ac:dyDescent="0.25">
      <c r="A98" s="108" t="str">
        <f ca="1">IFERROR(__xludf.DUMMYFUNCTION("""COMPUTED_VALUE"""),"106K")</f>
        <v>106K</v>
      </c>
      <c r="B98" s="108">
        <f ca="1">IFERROR(__xludf.DUMMYFUNCTION("""COMPUTED_VALUE"""),109)</f>
        <v>109</v>
      </c>
      <c r="C98" s="108">
        <f ca="1">IFERROR(__xludf.DUMMYFUNCTION("""COMPUTED_VALUE"""),109)</f>
        <v>109</v>
      </c>
      <c r="D98" s="156">
        <f t="shared" ca="1" si="1"/>
        <v>100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</row>
    <row r="99" spans="1:53" ht="14.25" customHeight="1" x14ac:dyDescent="0.25">
      <c r="A99" s="108" t="str">
        <f ca="1">IFERROR(__xludf.DUMMYFUNCTION("""COMPUTED_VALUE"""),"108K")</f>
        <v>108K</v>
      </c>
      <c r="B99" s="108">
        <f ca="1">IFERROR(__xludf.DUMMYFUNCTION("""COMPUTED_VALUE"""),68)</f>
        <v>68</v>
      </c>
      <c r="C99" s="108">
        <f ca="1">IFERROR(__xludf.DUMMYFUNCTION("""COMPUTED_VALUE"""),25)</f>
        <v>25</v>
      </c>
      <c r="D99" s="156">
        <f t="shared" ca="1" si="1"/>
        <v>36.764705882352942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</row>
    <row r="100" spans="1:53" ht="14.25" customHeight="1" x14ac:dyDescent="0.25">
      <c r="A100" s="108" t="str">
        <f ca="1">IFERROR(__xludf.DUMMYFUNCTION("""COMPUTED_VALUE"""),"109K")</f>
        <v>109K</v>
      </c>
      <c r="B100" s="108" t="str">
        <f ca="1">IFERROR(__xludf.DUMMYFUNCTION("""COMPUTED_VALUE"""),"N.A.")</f>
        <v>N.A.</v>
      </c>
      <c r="C100" s="108" t="str">
        <f ca="1">IFERROR(__xludf.DUMMYFUNCTION("""COMPUTED_VALUE"""),"N.A.")</f>
        <v>N.A.</v>
      </c>
      <c r="D100" s="156" t="str">
        <f t="shared" ca="1" si="1"/>
        <v>N.A.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</row>
    <row r="101" spans="1:53" ht="14.25" customHeight="1" x14ac:dyDescent="0.25">
      <c r="A101" s="108" t="str">
        <f ca="1">IFERROR(__xludf.DUMMYFUNCTION("""COMPUTED_VALUE"""),"111K")</f>
        <v>111K</v>
      </c>
      <c r="B101" s="108">
        <f ca="1">IFERROR(__xludf.DUMMYFUNCTION("""COMPUTED_VALUE"""),44)</f>
        <v>44</v>
      </c>
      <c r="C101" s="108">
        <f ca="1">IFERROR(__xludf.DUMMYFUNCTION("""COMPUTED_VALUE"""),43)</f>
        <v>43</v>
      </c>
      <c r="D101" s="156">
        <f t="shared" ca="1" si="1"/>
        <v>97.727272727272734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</row>
    <row r="102" spans="1:53" ht="14.25" customHeight="1" x14ac:dyDescent="0.25">
      <c r="A102" s="108" t="str">
        <f ca="1">IFERROR(__xludf.DUMMYFUNCTION("""COMPUTED_VALUE"""),"113K")</f>
        <v>113K</v>
      </c>
      <c r="B102" s="108" t="str">
        <f ca="1">IFERROR(__xludf.DUMMYFUNCTION("""COMPUTED_VALUE"""),"N.A.")</f>
        <v>N.A.</v>
      </c>
      <c r="C102" s="108" t="str">
        <f ca="1">IFERROR(__xludf.DUMMYFUNCTION("""COMPUTED_VALUE"""),"N.A.")</f>
        <v>N.A.</v>
      </c>
      <c r="D102" s="156" t="str">
        <f t="shared" ca="1" si="1"/>
        <v>N.A.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</row>
    <row r="103" spans="1:53" ht="14.25" customHeight="1" x14ac:dyDescent="0.25">
      <c r="A103" s="108" t="str">
        <f ca="1">IFERROR(__xludf.DUMMYFUNCTION("""COMPUTED_VALUE"""),"114P")</f>
        <v>114P</v>
      </c>
      <c r="B103" s="108">
        <f ca="1">IFERROR(__xludf.DUMMYFUNCTION("""COMPUTED_VALUE"""),68)</f>
        <v>68</v>
      </c>
      <c r="C103" s="108">
        <f ca="1">IFERROR(__xludf.DUMMYFUNCTION("""COMPUTED_VALUE"""),68)</f>
        <v>68</v>
      </c>
      <c r="D103" s="156">
        <f t="shared" ca="1" si="1"/>
        <v>100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</row>
    <row r="104" spans="1:53" ht="14.25" customHeight="1" x14ac:dyDescent="0.25">
      <c r="A104" s="108" t="str">
        <f ca="1">IFERROR(__xludf.DUMMYFUNCTION("""COMPUTED_VALUE"""),"115K")</f>
        <v>115K</v>
      </c>
      <c r="B104" s="108" t="str">
        <f ca="1">IFERROR(__xludf.DUMMYFUNCTION("""COMPUTED_VALUE"""),"N.A.")</f>
        <v>N.A.</v>
      </c>
      <c r="C104" s="108" t="str">
        <f ca="1">IFERROR(__xludf.DUMMYFUNCTION("""COMPUTED_VALUE"""),"N.A.")</f>
        <v>N.A.</v>
      </c>
      <c r="D104" s="156" t="str">
        <f t="shared" ca="1" si="1"/>
        <v>N.A.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</row>
    <row r="105" spans="1:53" ht="14.25" customHeight="1" x14ac:dyDescent="0.25">
      <c r="A105" s="108" t="str">
        <f ca="1">IFERROR(__xludf.DUMMYFUNCTION("""COMPUTED_VALUE"""),"120P")</f>
        <v>120P</v>
      </c>
      <c r="B105" s="108">
        <f ca="1">IFERROR(__xludf.DUMMYFUNCTION("""COMPUTED_VALUE"""),85)</f>
        <v>85</v>
      </c>
      <c r="C105" s="108">
        <f ca="1">IFERROR(__xludf.DUMMYFUNCTION("""COMPUTED_VALUE"""),80)</f>
        <v>80</v>
      </c>
      <c r="D105" s="156">
        <f t="shared" ca="1" si="1"/>
        <v>94.117647058823522</v>
      </c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</row>
    <row r="106" spans="1:53" ht="14.25" customHeight="1" x14ac:dyDescent="0.25">
      <c r="A106" s="108" t="str">
        <f ca="1">IFERROR(__xludf.DUMMYFUNCTION("""COMPUTED_VALUE"""),"121P")</f>
        <v>121P</v>
      </c>
      <c r="B106" s="108" t="str">
        <f ca="1">IFERROR(__xludf.DUMMYFUNCTION("""COMPUTED_VALUE"""),"N.A.")</f>
        <v>N.A.</v>
      </c>
      <c r="C106" s="108" t="str">
        <f ca="1">IFERROR(__xludf.DUMMYFUNCTION("""COMPUTED_VALUE"""),"N.A.")</f>
        <v>N.A.</v>
      </c>
      <c r="D106" s="156" t="str">
        <f t="shared" ca="1" si="1"/>
        <v>N.A.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</row>
    <row r="107" spans="1:53" ht="14.25" customHeight="1" x14ac:dyDescent="0.25">
      <c r="A107" s="108" t="str">
        <f ca="1">IFERROR(__xludf.DUMMYFUNCTION("""COMPUTED_VALUE"""),"122K")</f>
        <v>122K</v>
      </c>
      <c r="B107" s="108" t="str">
        <f ca="1">IFERROR(__xludf.DUMMYFUNCTION("""COMPUTED_VALUE"""),"N.A.")</f>
        <v>N.A.</v>
      </c>
      <c r="C107" s="108" t="str">
        <f ca="1">IFERROR(__xludf.DUMMYFUNCTION("""COMPUTED_VALUE"""),"N.A.")</f>
        <v>N.A.</v>
      </c>
      <c r="D107" s="156" t="str">
        <f t="shared" ca="1" si="1"/>
        <v>N.A.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</row>
    <row r="108" spans="1:53" ht="14.25" customHeight="1" x14ac:dyDescent="0.25">
      <c r="A108" s="108" t="str">
        <f ca="1">IFERROR(__xludf.DUMMYFUNCTION("""COMPUTED_VALUE"""),"123K")</f>
        <v>123K</v>
      </c>
      <c r="B108" s="108">
        <f ca="1">IFERROR(__xludf.DUMMYFUNCTION("""COMPUTED_VALUE"""),79)</f>
        <v>79</v>
      </c>
      <c r="C108" s="108">
        <f ca="1">IFERROR(__xludf.DUMMYFUNCTION("""COMPUTED_VALUE"""),79)</f>
        <v>79</v>
      </c>
      <c r="D108" s="156">
        <f t="shared" ca="1" si="1"/>
        <v>100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</row>
    <row r="109" spans="1:53" ht="14.25" customHeight="1" x14ac:dyDescent="0.25">
      <c r="A109" s="108" t="str">
        <f ca="1">IFERROR(__xludf.DUMMYFUNCTION("""COMPUTED_VALUE"""),"124P")</f>
        <v>124P</v>
      </c>
      <c r="B109" s="108" t="str">
        <f ca="1">IFERROR(__xludf.DUMMYFUNCTION("""COMPUTED_VALUE"""),"N.A.")</f>
        <v>N.A.</v>
      </c>
      <c r="C109" s="108" t="str">
        <f ca="1">IFERROR(__xludf.DUMMYFUNCTION("""COMPUTED_VALUE"""),"N.A.")</f>
        <v>N.A.</v>
      </c>
      <c r="D109" s="156" t="str">
        <f t="shared" ca="1" si="1"/>
        <v>N.A.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</row>
    <row r="110" spans="1:53" ht="14.25" customHeight="1" x14ac:dyDescent="0.25">
      <c r="A110" s="108" t="str">
        <f ca="1">IFERROR(__xludf.DUMMYFUNCTION("""COMPUTED_VALUE"""),"125P")</f>
        <v>125P</v>
      </c>
      <c r="B110" s="108">
        <f ca="1">IFERROR(__xludf.DUMMYFUNCTION("""COMPUTED_VALUE"""),83)</f>
        <v>83</v>
      </c>
      <c r="C110" s="108">
        <f ca="1">IFERROR(__xludf.DUMMYFUNCTION("""COMPUTED_VALUE"""),83)</f>
        <v>83</v>
      </c>
      <c r="D110" s="156">
        <f t="shared" ca="1" si="1"/>
        <v>100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</row>
    <row r="111" spans="1:53" ht="14.25" customHeight="1" x14ac:dyDescent="0.25">
      <c r="A111" s="108" t="str">
        <f ca="1">IFERROR(__xludf.DUMMYFUNCTION("""COMPUTED_VALUE"""),"126K")</f>
        <v>126K</v>
      </c>
      <c r="B111" s="108">
        <f ca="1">IFERROR(__xludf.DUMMYFUNCTION("""COMPUTED_VALUE"""),94)</f>
        <v>94</v>
      </c>
      <c r="C111" s="108">
        <f ca="1">IFERROR(__xludf.DUMMYFUNCTION("""COMPUTED_VALUE"""),90)</f>
        <v>90</v>
      </c>
      <c r="D111" s="156">
        <f t="shared" ca="1" si="1"/>
        <v>95.744680851063833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</row>
    <row r="112" spans="1:53" ht="14.25" customHeight="1" x14ac:dyDescent="0.25">
      <c r="A112" s="108" t="str">
        <f ca="1">IFERROR(__xludf.DUMMYFUNCTION("""COMPUTED_VALUE"""),"127K")</f>
        <v>127K</v>
      </c>
      <c r="B112" s="108">
        <f ca="1">IFERROR(__xludf.DUMMYFUNCTION("""COMPUTED_VALUE"""),110)</f>
        <v>110</v>
      </c>
      <c r="C112" s="108">
        <f ca="1">IFERROR(__xludf.DUMMYFUNCTION("""COMPUTED_VALUE"""),107)</f>
        <v>107</v>
      </c>
      <c r="D112" s="156">
        <f t="shared" ca="1" si="1"/>
        <v>97.27272727272728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</row>
    <row r="113" spans="1:53" ht="14.25" customHeight="1" x14ac:dyDescent="0.25">
      <c r="A113" s="108" t="str">
        <f ca="1">IFERROR(__xludf.DUMMYFUNCTION("""COMPUTED_VALUE"""),"128K")</f>
        <v>128K</v>
      </c>
      <c r="B113" s="108">
        <f ca="1">IFERROR(__xludf.DUMMYFUNCTION("""COMPUTED_VALUE"""),79)</f>
        <v>79</v>
      </c>
      <c r="C113" s="108">
        <f ca="1">IFERROR(__xludf.DUMMYFUNCTION("""COMPUTED_VALUE"""),72)</f>
        <v>72</v>
      </c>
      <c r="D113" s="156">
        <f t="shared" ca="1" si="1"/>
        <v>91.139240506329116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</row>
    <row r="114" spans="1:53" ht="14.25" customHeight="1" x14ac:dyDescent="0.25">
      <c r="A114" s="108" t="str">
        <f ca="1">IFERROR(__xludf.DUMMYFUNCTION("""COMPUTED_VALUE"""),"129K")</f>
        <v>129K</v>
      </c>
      <c r="B114" s="108" t="str">
        <f ca="1">IFERROR(__xludf.DUMMYFUNCTION("""COMPUTED_VALUE"""),"N.A.")</f>
        <v>N.A.</v>
      </c>
      <c r="C114" s="108" t="str">
        <f ca="1">IFERROR(__xludf.DUMMYFUNCTION("""COMPUTED_VALUE"""),"N.A.")</f>
        <v>N.A.</v>
      </c>
      <c r="D114" s="156" t="str">
        <f t="shared" ca="1" si="1"/>
        <v>N.A.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</row>
    <row r="115" spans="1:53" ht="14.25" customHeight="1" x14ac:dyDescent="0.25">
      <c r="A115" s="108" t="str">
        <f ca="1">IFERROR(__xludf.DUMMYFUNCTION("""COMPUTED_VALUE"""),"130P")</f>
        <v>130P</v>
      </c>
      <c r="B115" s="108" t="str">
        <f ca="1">IFERROR(__xludf.DUMMYFUNCTION("""COMPUTED_VALUE"""),"N.A.")</f>
        <v>N.A.</v>
      </c>
      <c r="C115" s="108" t="str">
        <f ca="1">IFERROR(__xludf.DUMMYFUNCTION("""COMPUTED_VALUE"""),"N.A.")</f>
        <v>N.A.</v>
      </c>
      <c r="D115" s="156" t="str">
        <f t="shared" ca="1" si="1"/>
        <v>N.A.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</row>
    <row r="116" spans="1:53" ht="14.25" customHeight="1" x14ac:dyDescent="0.25">
      <c r="A116" s="108" t="str">
        <f ca="1">IFERROR(__xludf.DUMMYFUNCTION("""COMPUTED_VALUE"""),"131P")</f>
        <v>131P</v>
      </c>
      <c r="B116" s="108" t="str">
        <f ca="1">IFERROR(__xludf.DUMMYFUNCTION("""COMPUTED_VALUE"""),"N.A.")</f>
        <v>N.A.</v>
      </c>
      <c r="C116" s="108" t="str">
        <f ca="1">IFERROR(__xludf.DUMMYFUNCTION("""COMPUTED_VALUE"""),"N.A.")</f>
        <v>N.A.</v>
      </c>
      <c r="D116" s="156" t="str">
        <f t="shared" ca="1" si="1"/>
        <v>N.A.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</row>
    <row r="117" spans="1:53" ht="14.25" customHeight="1" x14ac:dyDescent="0.25">
      <c r="A117" s="108" t="str">
        <f ca="1">IFERROR(__xludf.DUMMYFUNCTION("""COMPUTED_VALUE"""),"133K")</f>
        <v>133K</v>
      </c>
      <c r="B117" s="108">
        <f ca="1">IFERROR(__xludf.DUMMYFUNCTION("""COMPUTED_VALUE"""),72)</f>
        <v>72</v>
      </c>
      <c r="C117" s="108">
        <f ca="1">IFERROR(__xludf.DUMMYFUNCTION("""COMPUTED_VALUE"""),70)</f>
        <v>70</v>
      </c>
      <c r="D117" s="156">
        <f t="shared" ca="1" si="1"/>
        <v>97.222222222222214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</row>
    <row r="118" spans="1:53" ht="14.25" customHeight="1" x14ac:dyDescent="0.25">
      <c r="A118" s="108" t="str">
        <f ca="1">IFERROR(__xludf.DUMMYFUNCTION("""COMPUTED_VALUE"""),"135K")</f>
        <v>135K</v>
      </c>
      <c r="B118" s="108" t="str">
        <f ca="1">IFERROR(__xludf.DUMMYFUNCTION("""COMPUTED_VALUE"""),"N.A.")</f>
        <v>N.A.</v>
      </c>
      <c r="C118" s="108" t="str">
        <f ca="1">IFERROR(__xludf.DUMMYFUNCTION("""COMPUTED_VALUE"""),"N.A.")</f>
        <v>N.A.</v>
      </c>
      <c r="D118" s="156" t="str">
        <f t="shared" ca="1" si="1"/>
        <v>N.A.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</row>
    <row r="119" spans="1:53" ht="14.25" customHeight="1" x14ac:dyDescent="0.25">
      <c r="A119" s="108" t="str">
        <f ca="1">IFERROR(__xludf.DUMMYFUNCTION("""COMPUTED_VALUE"""),"136K")</f>
        <v>136K</v>
      </c>
      <c r="B119" s="108">
        <f ca="1">IFERROR(__xludf.DUMMYFUNCTION("""COMPUTED_VALUE"""),83)</f>
        <v>83</v>
      </c>
      <c r="C119" s="108">
        <f ca="1">IFERROR(__xludf.DUMMYFUNCTION("""COMPUTED_VALUE"""),83)</f>
        <v>83</v>
      </c>
      <c r="D119" s="156">
        <f t="shared" ca="1" si="1"/>
        <v>100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</row>
    <row r="120" spans="1:53" ht="14.25" customHeight="1" x14ac:dyDescent="0.25">
      <c r="A120" s="108" t="str">
        <f ca="1">IFERROR(__xludf.DUMMYFUNCTION("""COMPUTED_VALUE"""),"137K")</f>
        <v>137K</v>
      </c>
      <c r="B120" s="108" t="str">
        <f ca="1">IFERROR(__xludf.DUMMYFUNCTION("""COMPUTED_VALUE"""),"N.A.")</f>
        <v>N.A.</v>
      </c>
      <c r="C120" s="108" t="str">
        <f ca="1">IFERROR(__xludf.DUMMYFUNCTION("""COMPUTED_VALUE"""),"N.A.")</f>
        <v>N.A.</v>
      </c>
      <c r="D120" s="156" t="str">
        <f t="shared" ca="1" si="1"/>
        <v>N.A.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</row>
    <row r="121" spans="1:53" ht="14.25" customHeight="1" x14ac:dyDescent="0.25">
      <c r="A121" s="108" t="str">
        <f ca="1">IFERROR(__xludf.DUMMYFUNCTION("""COMPUTED_VALUE"""),"140K")</f>
        <v>140K</v>
      </c>
      <c r="B121" s="108">
        <f ca="1">IFERROR(__xludf.DUMMYFUNCTION("""COMPUTED_VALUE"""),63)</f>
        <v>63</v>
      </c>
      <c r="C121" s="108">
        <f ca="1">IFERROR(__xludf.DUMMYFUNCTION("""COMPUTED_VALUE"""),63)</f>
        <v>63</v>
      </c>
      <c r="D121" s="156">
        <f t="shared" ca="1" si="1"/>
        <v>100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</row>
    <row r="122" spans="1:53" ht="14.25" customHeight="1" x14ac:dyDescent="0.25">
      <c r="A122" s="108" t="str">
        <f ca="1">IFERROR(__xludf.DUMMYFUNCTION("""COMPUTED_VALUE"""),"141K")</f>
        <v>141K</v>
      </c>
      <c r="B122" s="108" t="str">
        <f ca="1">IFERROR(__xludf.DUMMYFUNCTION("""COMPUTED_VALUE"""),"N.A.")</f>
        <v>N.A.</v>
      </c>
      <c r="C122" s="108" t="str">
        <f ca="1">IFERROR(__xludf.DUMMYFUNCTION("""COMPUTED_VALUE"""),"N.A.")</f>
        <v>N.A.</v>
      </c>
      <c r="D122" s="156" t="str">
        <f t="shared" ca="1" si="1"/>
        <v>N.A.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</row>
    <row r="123" spans="1:53" ht="14.25" customHeight="1" x14ac:dyDescent="0.25">
      <c r="A123" s="108" t="str">
        <f ca="1">IFERROR(__xludf.DUMMYFUNCTION("""COMPUTED_VALUE"""),"142P")</f>
        <v>142P</v>
      </c>
      <c r="B123" s="108">
        <f ca="1">IFERROR(__xludf.DUMMYFUNCTION("""COMPUTED_VALUE"""),5)</f>
        <v>5</v>
      </c>
      <c r="C123" s="108">
        <f ca="1">IFERROR(__xludf.DUMMYFUNCTION("""COMPUTED_VALUE"""),0)</f>
        <v>0</v>
      </c>
      <c r="D123" s="156">
        <f t="shared" ca="1" si="1"/>
        <v>0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</row>
    <row r="124" spans="1:53" ht="14.25" customHeight="1" x14ac:dyDescent="0.25">
      <c r="A124" s="108" t="str">
        <f ca="1">IFERROR(__xludf.DUMMYFUNCTION("""COMPUTED_VALUE"""),"143P")</f>
        <v>143P</v>
      </c>
      <c r="B124" s="108">
        <f ca="1">IFERROR(__xludf.DUMMYFUNCTION("""COMPUTED_VALUE"""),72)</f>
        <v>72</v>
      </c>
      <c r="C124" s="108">
        <f ca="1">IFERROR(__xludf.DUMMYFUNCTION("""COMPUTED_VALUE"""),72)</f>
        <v>72</v>
      </c>
      <c r="D124" s="156">
        <f t="shared" ca="1" si="1"/>
        <v>100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</row>
    <row r="125" spans="1:53" ht="14.25" customHeight="1" x14ac:dyDescent="0.25">
      <c r="A125" s="108" t="str">
        <f ca="1">IFERROR(__xludf.DUMMYFUNCTION("""COMPUTED_VALUE"""),"144P")</f>
        <v>144P</v>
      </c>
      <c r="B125" s="108">
        <f ca="1">IFERROR(__xludf.DUMMYFUNCTION("""COMPUTED_VALUE"""),95)</f>
        <v>95</v>
      </c>
      <c r="C125" s="108">
        <f ca="1">IFERROR(__xludf.DUMMYFUNCTION("""COMPUTED_VALUE"""),92)</f>
        <v>92</v>
      </c>
      <c r="D125" s="156">
        <f t="shared" ca="1" si="1"/>
        <v>96.84210526315789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</row>
    <row r="126" spans="1:53" ht="14.25" customHeight="1" x14ac:dyDescent="0.25">
      <c r="A126" s="108" t="str">
        <f ca="1">IFERROR(__xludf.DUMMYFUNCTION("""COMPUTED_VALUE"""),"145K")</f>
        <v>145K</v>
      </c>
      <c r="B126" s="108">
        <f ca="1">IFERROR(__xludf.DUMMYFUNCTION("""COMPUTED_VALUE"""),95)</f>
        <v>95</v>
      </c>
      <c r="C126" s="108">
        <f ca="1">IFERROR(__xludf.DUMMYFUNCTION("""COMPUTED_VALUE"""),92)</f>
        <v>92</v>
      </c>
      <c r="D126" s="156">
        <f t="shared" ca="1" si="1"/>
        <v>96.84210526315789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</row>
    <row r="127" spans="1:53" ht="14.25" customHeight="1" x14ac:dyDescent="0.25">
      <c r="A127" s="108" t="str">
        <f ca="1">IFERROR(__xludf.DUMMYFUNCTION("""COMPUTED_VALUE"""),"146K")</f>
        <v>146K</v>
      </c>
      <c r="B127" s="108">
        <f ca="1">IFERROR(__xludf.DUMMYFUNCTION("""COMPUTED_VALUE"""),18)</f>
        <v>18</v>
      </c>
      <c r="C127" s="108">
        <f ca="1">IFERROR(__xludf.DUMMYFUNCTION("""COMPUTED_VALUE"""),0)</f>
        <v>0</v>
      </c>
      <c r="D127" s="156">
        <f t="shared" ca="1" si="1"/>
        <v>0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</row>
    <row r="128" spans="1:53" ht="14.25" customHeight="1" x14ac:dyDescent="0.25">
      <c r="A128" s="108" t="str">
        <f ca="1">IFERROR(__xludf.DUMMYFUNCTION("""COMPUTED_VALUE"""),"147K")</f>
        <v>147K</v>
      </c>
      <c r="B128" s="108" t="str">
        <f ca="1">IFERROR(__xludf.DUMMYFUNCTION("""COMPUTED_VALUE"""),"N.A.")</f>
        <v>N.A.</v>
      </c>
      <c r="C128" s="108" t="str">
        <f ca="1">IFERROR(__xludf.DUMMYFUNCTION("""COMPUTED_VALUE"""),"N.A.")</f>
        <v>N.A.</v>
      </c>
      <c r="D128" s="156" t="str">
        <f t="shared" ca="1" si="1"/>
        <v>N.A.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</row>
    <row r="129" spans="1:53" ht="14.25" customHeight="1" x14ac:dyDescent="0.25">
      <c r="A129" s="108" t="str">
        <f ca="1">IFERROR(__xludf.DUMMYFUNCTION("""COMPUTED_VALUE"""),"149P")</f>
        <v>149P</v>
      </c>
      <c r="B129" s="108">
        <f ca="1">IFERROR(__xludf.DUMMYFUNCTION("""COMPUTED_VALUE"""),90)</f>
        <v>90</v>
      </c>
      <c r="C129" s="108">
        <f ca="1">IFERROR(__xludf.DUMMYFUNCTION("""COMPUTED_VALUE"""),81)</f>
        <v>81</v>
      </c>
      <c r="D129" s="156">
        <f t="shared" ca="1" si="1"/>
        <v>90</v>
      </c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</row>
    <row r="130" spans="1:53" ht="14.25" customHeight="1" x14ac:dyDescent="0.25">
      <c r="A130" s="108" t="str">
        <f ca="1">IFERROR(__xludf.DUMMYFUNCTION("""COMPUTED_VALUE"""),"150K")</f>
        <v>150K</v>
      </c>
      <c r="B130" s="108" t="str">
        <f ca="1">IFERROR(__xludf.DUMMYFUNCTION("""COMPUTED_VALUE"""),"N.A.")</f>
        <v>N.A.</v>
      </c>
      <c r="C130" s="108" t="str">
        <f ca="1">IFERROR(__xludf.DUMMYFUNCTION("""COMPUTED_VALUE"""),"N.A.")</f>
        <v>N.A.</v>
      </c>
      <c r="D130" s="156" t="str">
        <f t="shared" ca="1" si="1"/>
        <v>N.A.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</row>
    <row r="131" spans="1:53" ht="14.25" customHeight="1" x14ac:dyDescent="0.25">
      <c r="A131" s="108" t="str">
        <f ca="1">IFERROR(__xludf.DUMMYFUNCTION("""COMPUTED_VALUE"""),"151P")</f>
        <v>151P</v>
      </c>
      <c r="B131" s="108">
        <f ca="1">IFERROR(__xludf.DUMMYFUNCTION("""COMPUTED_VALUE"""),54)</f>
        <v>54</v>
      </c>
      <c r="C131" s="108">
        <f ca="1">IFERROR(__xludf.DUMMYFUNCTION("""COMPUTED_VALUE"""),50)</f>
        <v>50</v>
      </c>
      <c r="D131" s="156">
        <f t="shared" ca="1" si="1"/>
        <v>92.592592592592595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</row>
    <row r="132" spans="1:53" ht="14.25" customHeight="1" x14ac:dyDescent="0.25">
      <c r="A132" s="108" t="str">
        <f ca="1">IFERROR(__xludf.DUMMYFUNCTION("""COMPUTED_VALUE"""),"152P")</f>
        <v>152P</v>
      </c>
      <c r="B132" s="108">
        <f ca="1">IFERROR(__xludf.DUMMYFUNCTION("""COMPUTED_VALUE"""),66)</f>
        <v>66</v>
      </c>
      <c r="C132" s="108">
        <f ca="1">IFERROR(__xludf.DUMMYFUNCTION("""COMPUTED_VALUE"""),66)</f>
        <v>66</v>
      </c>
      <c r="D132" s="156">
        <f t="shared" ca="1" si="1"/>
        <v>100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</row>
    <row r="133" spans="1:53" ht="14.25" customHeight="1" x14ac:dyDescent="0.25">
      <c r="A133" s="108" t="str">
        <f ca="1">IFERROR(__xludf.DUMMYFUNCTION("""COMPUTED_VALUE"""),"153K")</f>
        <v>153K</v>
      </c>
      <c r="B133" s="108" t="str">
        <f ca="1">IFERROR(__xludf.DUMMYFUNCTION("""COMPUTED_VALUE"""),"N.A.")</f>
        <v>N.A.</v>
      </c>
      <c r="C133" s="108" t="str">
        <f ca="1">IFERROR(__xludf.DUMMYFUNCTION("""COMPUTED_VALUE"""),"N.A.")</f>
        <v>N.A.</v>
      </c>
      <c r="D133" s="156" t="str">
        <f t="shared" ca="1" si="1"/>
        <v>N.A.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</row>
    <row r="134" spans="1:53" ht="14.25" customHeight="1" x14ac:dyDescent="0.25">
      <c r="A134" s="108" t="str">
        <f ca="1">IFERROR(__xludf.DUMMYFUNCTION("""COMPUTED_VALUE"""),"154K")</f>
        <v>154K</v>
      </c>
      <c r="B134" s="108">
        <f ca="1">IFERROR(__xludf.DUMMYFUNCTION("""COMPUTED_VALUE"""),81)</f>
        <v>81</v>
      </c>
      <c r="C134" s="108">
        <f ca="1">IFERROR(__xludf.DUMMYFUNCTION("""COMPUTED_VALUE"""),81)</f>
        <v>81</v>
      </c>
      <c r="D134" s="156">
        <f t="shared" ca="1" si="1"/>
        <v>100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</row>
    <row r="135" spans="1:53" ht="14.25" customHeight="1" x14ac:dyDescent="0.25">
      <c r="A135" s="108" t="str">
        <f ca="1">IFERROR(__xludf.DUMMYFUNCTION("""COMPUTED_VALUE"""),"155P")</f>
        <v>155P</v>
      </c>
      <c r="B135" s="108">
        <f ca="1">IFERROR(__xludf.DUMMYFUNCTION("""COMPUTED_VALUE"""),90)</f>
        <v>90</v>
      </c>
      <c r="C135" s="108">
        <f ca="1">IFERROR(__xludf.DUMMYFUNCTION("""COMPUTED_VALUE"""),90)</f>
        <v>90</v>
      </c>
      <c r="D135" s="156">
        <f t="shared" ca="1" si="1"/>
        <v>100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</row>
    <row r="136" spans="1:53" ht="14.25" customHeight="1" x14ac:dyDescent="0.25">
      <c r="A136" s="108" t="str">
        <f ca="1">IFERROR(__xludf.DUMMYFUNCTION("""COMPUTED_VALUE"""),"156K")</f>
        <v>156K</v>
      </c>
      <c r="B136" s="108">
        <f ca="1">IFERROR(__xludf.DUMMYFUNCTION("""COMPUTED_VALUE"""),51)</f>
        <v>51</v>
      </c>
      <c r="C136" s="108">
        <f ca="1">IFERROR(__xludf.DUMMYFUNCTION("""COMPUTED_VALUE"""),46)</f>
        <v>46</v>
      </c>
      <c r="D136" s="156">
        <f t="shared" ca="1" si="1"/>
        <v>90.196078431372555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</row>
    <row r="137" spans="1:53" ht="14.25" customHeight="1" x14ac:dyDescent="0.25">
      <c r="A137" s="108" t="str">
        <f ca="1">IFERROR(__xludf.DUMMYFUNCTION("""COMPUTED_VALUE"""),"157P")</f>
        <v>157P</v>
      </c>
      <c r="B137" s="108">
        <f ca="1">IFERROR(__xludf.DUMMYFUNCTION("""COMPUTED_VALUE"""),79)</f>
        <v>79</v>
      </c>
      <c r="C137" s="108">
        <f ca="1">IFERROR(__xludf.DUMMYFUNCTION("""COMPUTED_VALUE"""),78)</f>
        <v>78</v>
      </c>
      <c r="D137" s="156">
        <f t="shared" ca="1" si="1"/>
        <v>98.734177215189874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</row>
    <row r="138" spans="1:53" ht="14.25" customHeight="1" x14ac:dyDescent="0.25">
      <c r="A138" s="108" t="str">
        <f ca="1">IFERROR(__xludf.DUMMYFUNCTION("""COMPUTED_VALUE"""),"158K")</f>
        <v>158K</v>
      </c>
      <c r="B138" s="108" t="str">
        <f ca="1">IFERROR(__xludf.DUMMYFUNCTION("""COMPUTED_VALUE"""),"N.A.")</f>
        <v>N.A.</v>
      </c>
      <c r="C138" s="108" t="str">
        <f ca="1">IFERROR(__xludf.DUMMYFUNCTION("""COMPUTED_VALUE"""),"N.A.")</f>
        <v>N.A.</v>
      </c>
      <c r="D138" s="156" t="str">
        <f t="shared" ca="1" si="1"/>
        <v>N.A.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</row>
    <row r="139" spans="1:53" ht="14.25" customHeight="1" x14ac:dyDescent="0.25">
      <c r="A139" s="108" t="str">
        <f ca="1">IFERROR(__xludf.DUMMYFUNCTION("""COMPUTED_VALUE"""),"159P")</f>
        <v>159P</v>
      </c>
      <c r="B139" s="108" t="str">
        <f ca="1">IFERROR(__xludf.DUMMYFUNCTION("""COMPUTED_VALUE"""),"N.A.")</f>
        <v>N.A.</v>
      </c>
      <c r="C139" s="108" t="str">
        <f ca="1">IFERROR(__xludf.DUMMYFUNCTION("""COMPUTED_VALUE"""),"N.A.")</f>
        <v>N.A.</v>
      </c>
      <c r="D139" s="156" t="str">
        <f t="shared" ca="1" si="1"/>
        <v>N.A.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</row>
    <row r="140" spans="1:53" ht="14.25" customHeight="1" x14ac:dyDescent="0.25">
      <c r="A140" s="108" t="str">
        <f ca="1">IFERROR(__xludf.DUMMYFUNCTION("""COMPUTED_VALUE"""),"162P")</f>
        <v>162P</v>
      </c>
      <c r="B140" s="108" t="str">
        <f ca="1">IFERROR(__xludf.DUMMYFUNCTION("""COMPUTED_VALUE"""),"N.A.")</f>
        <v>N.A.</v>
      </c>
      <c r="C140" s="108" t="str">
        <f ca="1">IFERROR(__xludf.DUMMYFUNCTION("""COMPUTED_VALUE"""),"N.A.")</f>
        <v>N.A.</v>
      </c>
      <c r="D140" s="156" t="str">
        <f t="shared" ca="1" si="1"/>
        <v>N.A.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</row>
    <row r="141" spans="1:53" ht="14.25" customHeight="1" x14ac:dyDescent="0.25">
      <c r="A141" s="108" t="str">
        <f ca="1">IFERROR(__xludf.DUMMYFUNCTION("""COMPUTED_VALUE"""),"164K")</f>
        <v>164K</v>
      </c>
      <c r="B141" s="108" t="str">
        <f ca="1">IFERROR(__xludf.DUMMYFUNCTION("""COMPUTED_VALUE"""),"N.A.")</f>
        <v>N.A.</v>
      </c>
      <c r="C141" s="108" t="str">
        <f ca="1">IFERROR(__xludf.DUMMYFUNCTION("""COMPUTED_VALUE"""),"N.A.")</f>
        <v>N.A.</v>
      </c>
      <c r="D141" s="156" t="str">
        <f t="shared" ca="1" si="1"/>
        <v>N.A.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</row>
    <row r="142" spans="1:53" ht="14.25" customHeight="1" x14ac:dyDescent="0.25">
      <c r="A142" s="108" t="str">
        <f ca="1">IFERROR(__xludf.DUMMYFUNCTION("""COMPUTED_VALUE"""),"165K")</f>
        <v>165K</v>
      </c>
      <c r="B142" s="108">
        <f ca="1">IFERROR(__xludf.DUMMYFUNCTION("""COMPUTED_VALUE"""),96)</f>
        <v>96</v>
      </c>
      <c r="C142" s="108">
        <f ca="1">IFERROR(__xludf.DUMMYFUNCTION("""COMPUTED_VALUE"""),96)</f>
        <v>96</v>
      </c>
      <c r="D142" s="156">
        <f t="shared" ca="1" si="1"/>
        <v>100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</row>
    <row r="143" spans="1:53" ht="14.25" customHeight="1" x14ac:dyDescent="0.25">
      <c r="A143" s="108" t="str">
        <f ca="1">IFERROR(__xludf.DUMMYFUNCTION("""COMPUTED_VALUE"""),"167K")</f>
        <v>167K</v>
      </c>
      <c r="B143" s="108">
        <f ca="1">IFERROR(__xludf.DUMMYFUNCTION("""COMPUTED_VALUE"""),85)</f>
        <v>85</v>
      </c>
      <c r="C143" s="108">
        <f ca="1">IFERROR(__xludf.DUMMYFUNCTION("""COMPUTED_VALUE"""),73)</f>
        <v>73</v>
      </c>
      <c r="D143" s="156">
        <f t="shared" ca="1" si="1"/>
        <v>85.882352941176464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</row>
    <row r="144" spans="1:53" ht="14.25" customHeight="1" x14ac:dyDescent="0.25">
      <c r="A144" s="108" t="str">
        <f ca="1">IFERROR(__xludf.DUMMYFUNCTION("""COMPUTED_VALUE"""),"169P")</f>
        <v>169P</v>
      </c>
      <c r="B144" s="108">
        <f ca="1">IFERROR(__xludf.DUMMYFUNCTION("""COMPUTED_VALUE"""),77)</f>
        <v>77</v>
      </c>
      <c r="C144" s="108">
        <f ca="1">IFERROR(__xludf.DUMMYFUNCTION("""COMPUTED_VALUE"""),77)</f>
        <v>77</v>
      </c>
      <c r="D144" s="156">
        <f t="shared" ca="1" si="1"/>
        <v>100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</row>
    <row r="145" spans="1:53" ht="14.25" customHeight="1" x14ac:dyDescent="0.25">
      <c r="A145" s="108" t="str">
        <f ca="1">IFERROR(__xludf.DUMMYFUNCTION("""COMPUTED_VALUE"""),"170K")</f>
        <v>170K</v>
      </c>
      <c r="B145" s="108">
        <f ca="1">IFERROR(__xludf.DUMMYFUNCTION("""COMPUTED_VALUE"""),68)</f>
        <v>68</v>
      </c>
      <c r="C145" s="108">
        <f ca="1">IFERROR(__xludf.DUMMYFUNCTION("""COMPUTED_VALUE"""),68)</f>
        <v>68</v>
      </c>
      <c r="D145" s="156">
        <f t="shared" ca="1" si="1"/>
        <v>100</v>
      </c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</row>
    <row r="146" spans="1:53" ht="14.25" customHeight="1" x14ac:dyDescent="0.25">
      <c r="A146" s="108" t="str">
        <f ca="1">IFERROR(__xludf.DUMMYFUNCTION("""COMPUTED_VALUE"""),"173P")</f>
        <v>173P</v>
      </c>
      <c r="B146" s="108">
        <f ca="1">IFERROR(__xludf.DUMMYFUNCTION("""COMPUTED_VALUE"""),73)</f>
        <v>73</v>
      </c>
      <c r="C146" s="108">
        <f ca="1">IFERROR(__xludf.DUMMYFUNCTION("""COMPUTED_VALUE"""),73)</f>
        <v>73</v>
      </c>
      <c r="D146" s="156">
        <f t="shared" ca="1" si="1"/>
        <v>100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</row>
    <row r="147" spans="1:53" ht="14.25" customHeight="1" x14ac:dyDescent="0.25">
      <c r="A147" s="108" t="str">
        <f ca="1">IFERROR(__xludf.DUMMYFUNCTION("""COMPUTED_VALUE"""),"174P")</f>
        <v>174P</v>
      </c>
      <c r="B147" s="108">
        <f ca="1">IFERROR(__xludf.DUMMYFUNCTION("""COMPUTED_VALUE"""),81)</f>
        <v>81</v>
      </c>
      <c r="C147" s="108">
        <f ca="1">IFERROR(__xludf.DUMMYFUNCTION("""COMPUTED_VALUE"""),76)</f>
        <v>76</v>
      </c>
      <c r="D147" s="156">
        <f t="shared" ca="1" si="1"/>
        <v>93.827160493827151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</row>
    <row r="148" spans="1:53" ht="14.25" customHeight="1" x14ac:dyDescent="0.25">
      <c r="A148" s="108" t="str">
        <f ca="1">IFERROR(__xludf.DUMMYFUNCTION("""COMPUTED_VALUE"""),"175K")</f>
        <v>175K</v>
      </c>
      <c r="B148" s="108" t="str">
        <f ca="1">IFERROR(__xludf.DUMMYFUNCTION("""COMPUTED_VALUE"""),"N.A.")</f>
        <v>N.A.</v>
      </c>
      <c r="C148" s="108" t="str">
        <f ca="1">IFERROR(__xludf.DUMMYFUNCTION("""COMPUTED_VALUE"""),"N.A.")</f>
        <v>N.A.</v>
      </c>
      <c r="D148" s="156" t="str">
        <f t="shared" ca="1" si="1"/>
        <v>N.A.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</row>
    <row r="149" spans="1:53" ht="14.25" customHeight="1" x14ac:dyDescent="0.25">
      <c r="A149" s="108" t="str">
        <f ca="1">IFERROR(__xludf.DUMMYFUNCTION("""COMPUTED_VALUE"""),"176K")</f>
        <v>176K</v>
      </c>
      <c r="B149" s="108" t="str">
        <f ca="1">IFERROR(__xludf.DUMMYFUNCTION("""COMPUTED_VALUE"""),"N.A.")</f>
        <v>N.A.</v>
      </c>
      <c r="C149" s="108" t="str">
        <f ca="1">IFERROR(__xludf.DUMMYFUNCTION("""COMPUTED_VALUE"""),"N.A.")</f>
        <v>N.A.</v>
      </c>
      <c r="D149" s="156" t="str">
        <f t="shared" ca="1" si="1"/>
        <v>N.A.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</row>
    <row r="150" spans="1:53" ht="14.25" customHeight="1" x14ac:dyDescent="0.25">
      <c r="A150" s="108" t="str">
        <f ca="1">IFERROR(__xludf.DUMMYFUNCTION("""COMPUTED_VALUE"""),"177P")</f>
        <v>177P</v>
      </c>
      <c r="B150" s="108">
        <f ca="1">IFERROR(__xludf.DUMMYFUNCTION("""COMPUTED_VALUE"""),74)</f>
        <v>74</v>
      </c>
      <c r="C150" s="108">
        <f ca="1">IFERROR(__xludf.DUMMYFUNCTION("""COMPUTED_VALUE"""),71)</f>
        <v>71</v>
      </c>
      <c r="D150" s="156">
        <f t="shared" ca="1" si="1"/>
        <v>95.945945945945937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</row>
    <row r="151" spans="1:53" ht="14.25" customHeight="1" x14ac:dyDescent="0.25">
      <c r="A151" s="108" t="str">
        <f ca="1">IFERROR(__xludf.DUMMYFUNCTION("""COMPUTED_VALUE"""),"178K")</f>
        <v>178K</v>
      </c>
      <c r="B151" s="108">
        <f ca="1">IFERROR(__xludf.DUMMYFUNCTION("""COMPUTED_VALUE"""),87)</f>
        <v>87</v>
      </c>
      <c r="C151" s="108">
        <f ca="1">IFERROR(__xludf.DUMMYFUNCTION("""COMPUTED_VALUE"""),85)</f>
        <v>85</v>
      </c>
      <c r="D151" s="156">
        <f t="shared" ca="1" si="1"/>
        <v>97.701149425287355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</row>
    <row r="152" spans="1:53" ht="14.25" customHeight="1" x14ac:dyDescent="0.25">
      <c r="A152" s="108" t="str">
        <f ca="1">IFERROR(__xludf.DUMMYFUNCTION("""COMPUTED_VALUE"""),"179P")</f>
        <v>179P</v>
      </c>
      <c r="B152" s="108" t="str">
        <f ca="1">IFERROR(__xludf.DUMMYFUNCTION("""COMPUTED_VALUE"""),"N.A.")</f>
        <v>N.A.</v>
      </c>
      <c r="C152" s="108" t="str">
        <f ca="1">IFERROR(__xludf.DUMMYFUNCTION("""COMPUTED_VALUE"""),"N.A.")</f>
        <v>N.A.</v>
      </c>
      <c r="D152" s="156" t="str">
        <f t="shared" ca="1" si="1"/>
        <v>N.A.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</row>
    <row r="153" spans="1:53" ht="14.25" customHeight="1" x14ac:dyDescent="0.25">
      <c r="A153" s="108" t="str">
        <f ca="1">IFERROR(__xludf.DUMMYFUNCTION("""COMPUTED_VALUE"""),"180P")</f>
        <v>180P</v>
      </c>
      <c r="B153" s="108" t="str">
        <f ca="1">IFERROR(__xludf.DUMMYFUNCTION("""COMPUTED_VALUE"""),"N.A.")</f>
        <v>N.A.</v>
      </c>
      <c r="C153" s="108" t="str">
        <f ca="1">IFERROR(__xludf.DUMMYFUNCTION("""COMPUTED_VALUE"""),"N.A.")</f>
        <v>N.A.</v>
      </c>
      <c r="D153" s="156" t="str">
        <f t="shared" ca="1" si="1"/>
        <v>N.A.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</row>
    <row r="154" spans="1:53" ht="14.25" customHeight="1" x14ac:dyDescent="0.25">
      <c r="A154" s="108" t="str">
        <f ca="1">IFERROR(__xludf.DUMMYFUNCTION("""COMPUTED_VALUE"""),"182K")</f>
        <v>182K</v>
      </c>
      <c r="B154" s="108">
        <f ca="1">IFERROR(__xludf.DUMMYFUNCTION("""COMPUTED_VALUE"""),49)</f>
        <v>49</v>
      </c>
      <c r="C154" s="108">
        <f ca="1">IFERROR(__xludf.DUMMYFUNCTION("""COMPUTED_VALUE"""),48)</f>
        <v>48</v>
      </c>
      <c r="D154" s="156">
        <f t="shared" ca="1" si="1"/>
        <v>97.959183673469383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</row>
    <row r="155" spans="1:53" ht="14.25" customHeight="1" x14ac:dyDescent="0.25">
      <c r="A155" s="108" t="str">
        <f ca="1">IFERROR(__xludf.DUMMYFUNCTION("""COMPUTED_VALUE"""),"183K")</f>
        <v>183K</v>
      </c>
      <c r="B155" s="108">
        <f ca="1">IFERROR(__xludf.DUMMYFUNCTION("""COMPUTED_VALUE"""),47)</f>
        <v>47</v>
      </c>
      <c r="C155" s="108">
        <f ca="1">IFERROR(__xludf.DUMMYFUNCTION("""COMPUTED_VALUE"""),26)</f>
        <v>26</v>
      </c>
      <c r="D155" s="156">
        <f t="shared" ca="1" si="1"/>
        <v>55.319148936170215</v>
      </c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</row>
    <row r="156" spans="1:53" ht="14.25" customHeight="1" x14ac:dyDescent="0.25">
      <c r="A156" s="108" t="str">
        <f ca="1">IFERROR(__xludf.DUMMYFUNCTION("""COMPUTED_VALUE"""),"184P")</f>
        <v>184P</v>
      </c>
      <c r="B156" s="108">
        <f ca="1">IFERROR(__xludf.DUMMYFUNCTION("""COMPUTED_VALUE"""),75)</f>
        <v>75</v>
      </c>
      <c r="C156" s="108">
        <f ca="1">IFERROR(__xludf.DUMMYFUNCTION("""COMPUTED_VALUE"""),75)</f>
        <v>75</v>
      </c>
      <c r="D156" s="156">
        <f t="shared" ca="1" si="1"/>
        <v>100</v>
      </c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</row>
    <row r="157" spans="1:53" ht="14.25" customHeight="1" x14ac:dyDescent="0.25">
      <c r="A157" s="108" t="str">
        <f ca="1">IFERROR(__xludf.DUMMYFUNCTION("""COMPUTED_VALUE"""),"185P")</f>
        <v>185P</v>
      </c>
      <c r="B157" s="108" t="str">
        <f ca="1">IFERROR(__xludf.DUMMYFUNCTION("""COMPUTED_VALUE"""),"N.A.")</f>
        <v>N.A.</v>
      </c>
      <c r="C157" s="108" t="str">
        <f ca="1">IFERROR(__xludf.DUMMYFUNCTION("""COMPUTED_VALUE"""),"N.A.")</f>
        <v>N.A.</v>
      </c>
      <c r="D157" s="156" t="str">
        <f t="shared" ca="1" si="1"/>
        <v>N.A.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</row>
    <row r="158" spans="1:53" ht="14.25" customHeight="1" x14ac:dyDescent="0.25">
      <c r="A158" s="108" t="str">
        <f ca="1">IFERROR(__xludf.DUMMYFUNCTION("""COMPUTED_VALUE"""),"187K")</f>
        <v>187K</v>
      </c>
      <c r="B158" s="108">
        <f ca="1">IFERROR(__xludf.DUMMYFUNCTION("""COMPUTED_VALUE"""),109)</f>
        <v>109</v>
      </c>
      <c r="C158" s="108">
        <f ca="1">IFERROR(__xludf.DUMMYFUNCTION("""COMPUTED_VALUE"""),107)</f>
        <v>107</v>
      </c>
      <c r="D158" s="156">
        <f t="shared" ca="1" si="1"/>
        <v>98.165137614678898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</row>
    <row r="159" spans="1:53" ht="14.25" customHeight="1" x14ac:dyDescent="0.25">
      <c r="A159" s="108" t="str">
        <f ca="1">IFERROR(__xludf.DUMMYFUNCTION("""COMPUTED_VALUE"""),"188K")</f>
        <v>188K</v>
      </c>
      <c r="B159" s="108">
        <f ca="1">IFERROR(__xludf.DUMMYFUNCTION("""COMPUTED_VALUE"""),49)</f>
        <v>49</v>
      </c>
      <c r="C159" s="108">
        <f ca="1">IFERROR(__xludf.DUMMYFUNCTION("""COMPUTED_VALUE"""),47)</f>
        <v>47</v>
      </c>
      <c r="D159" s="156">
        <f t="shared" ca="1" si="1"/>
        <v>95.918367346938766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</row>
    <row r="160" spans="1:53" ht="14.25" customHeight="1" x14ac:dyDescent="0.25">
      <c r="A160" s="108" t="str">
        <f ca="1">IFERROR(__xludf.DUMMYFUNCTION("""COMPUTED_VALUE"""),"189P")</f>
        <v>189P</v>
      </c>
      <c r="B160" s="108">
        <f ca="1">IFERROR(__xludf.DUMMYFUNCTION("""COMPUTED_VALUE"""),101)</f>
        <v>101</v>
      </c>
      <c r="C160" s="108">
        <f ca="1">IFERROR(__xludf.DUMMYFUNCTION("""COMPUTED_VALUE"""),83)</f>
        <v>83</v>
      </c>
      <c r="D160" s="156">
        <f t="shared" ca="1" si="1"/>
        <v>82.178217821782169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</row>
    <row r="161" spans="1:53" ht="14.25" customHeight="1" x14ac:dyDescent="0.25">
      <c r="A161" s="108" t="str">
        <f ca="1">IFERROR(__xludf.DUMMYFUNCTION("""COMPUTED_VALUE"""),"190K")</f>
        <v>190K</v>
      </c>
      <c r="B161" s="108" t="str">
        <f ca="1">IFERROR(__xludf.DUMMYFUNCTION("""COMPUTED_VALUE"""),"N.A.")</f>
        <v>N.A.</v>
      </c>
      <c r="C161" s="108" t="str">
        <f ca="1">IFERROR(__xludf.DUMMYFUNCTION("""COMPUTED_VALUE"""),"N.A.")</f>
        <v>N.A.</v>
      </c>
      <c r="D161" s="156" t="str">
        <f t="shared" ca="1" si="1"/>
        <v>N.A.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</row>
    <row r="162" spans="1:53" ht="14.25" customHeight="1" x14ac:dyDescent="0.25">
      <c r="A162" s="108" t="str">
        <f ca="1">IFERROR(__xludf.DUMMYFUNCTION("""COMPUTED_VALUE"""),"191K")</f>
        <v>191K</v>
      </c>
      <c r="B162" s="108">
        <f ca="1">IFERROR(__xludf.DUMMYFUNCTION("""COMPUTED_VALUE"""),67)</f>
        <v>67</v>
      </c>
      <c r="C162" s="108">
        <f ca="1">IFERROR(__xludf.DUMMYFUNCTION("""COMPUTED_VALUE"""),64)</f>
        <v>64</v>
      </c>
      <c r="D162" s="156">
        <f t="shared" ca="1" si="1"/>
        <v>95.522388059701484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</row>
    <row r="163" spans="1:53" ht="14.25" customHeight="1" x14ac:dyDescent="0.25">
      <c r="A163" s="108" t="str">
        <f ca="1">IFERROR(__xludf.DUMMYFUNCTION("""COMPUTED_VALUE"""),"192K")</f>
        <v>192K</v>
      </c>
      <c r="B163" s="108">
        <f ca="1">IFERROR(__xludf.DUMMYFUNCTION("""COMPUTED_VALUE"""),88)</f>
        <v>88</v>
      </c>
      <c r="C163" s="108">
        <f ca="1">IFERROR(__xludf.DUMMYFUNCTION("""COMPUTED_VALUE"""),85)</f>
        <v>85</v>
      </c>
      <c r="D163" s="156">
        <f t="shared" ca="1" si="1"/>
        <v>96.590909090909093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</row>
    <row r="164" spans="1:53" ht="14.25" customHeight="1" x14ac:dyDescent="0.25">
      <c r="A164" s="108" t="str">
        <f ca="1">IFERROR(__xludf.DUMMYFUNCTION("""COMPUTED_VALUE"""),"194P")</f>
        <v>194P</v>
      </c>
      <c r="B164" s="108">
        <f ca="1">IFERROR(__xludf.DUMMYFUNCTION("""COMPUTED_VALUE"""),110)</f>
        <v>110</v>
      </c>
      <c r="C164" s="108">
        <f ca="1">IFERROR(__xludf.DUMMYFUNCTION("""COMPUTED_VALUE"""),110)</f>
        <v>110</v>
      </c>
      <c r="D164" s="156">
        <f t="shared" ca="1" si="1"/>
        <v>100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</row>
    <row r="165" spans="1:53" ht="14.25" customHeight="1" x14ac:dyDescent="0.25">
      <c r="A165" s="108" t="str">
        <f ca="1">IFERROR(__xludf.DUMMYFUNCTION("""COMPUTED_VALUE"""),"195K")</f>
        <v>195K</v>
      </c>
      <c r="B165" s="108">
        <f ca="1">IFERROR(__xludf.DUMMYFUNCTION("""COMPUTED_VALUE"""),61)</f>
        <v>61</v>
      </c>
      <c r="C165" s="108">
        <f ca="1">IFERROR(__xludf.DUMMYFUNCTION("""COMPUTED_VALUE"""),59)</f>
        <v>59</v>
      </c>
      <c r="D165" s="156">
        <f t="shared" ca="1" si="1"/>
        <v>96.721311475409834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</row>
    <row r="166" spans="1:53" ht="14.25" customHeight="1" x14ac:dyDescent="0.25">
      <c r="A166" s="108" t="str">
        <f ca="1">IFERROR(__xludf.DUMMYFUNCTION("""COMPUTED_VALUE"""),"196K")</f>
        <v>196K</v>
      </c>
      <c r="B166" s="108">
        <f ca="1">IFERROR(__xludf.DUMMYFUNCTION("""COMPUTED_VALUE"""),98)</f>
        <v>98</v>
      </c>
      <c r="C166" s="108">
        <f ca="1">IFERROR(__xludf.DUMMYFUNCTION("""COMPUTED_VALUE"""),97)</f>
        <v>97</v>
      </c>
      <c r="D166" s="156">
        <f t="shared" ca="1" si="1"/>
        <v>98.979591836734699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</row>
    <row r="167" spans="1:53" ht="14.25" customHeight="1" x14ac:dyDescent="0.25">
      <c r="A167" s="108" t="str">
        <f ca="1">IFERROR(__xludf.DUMMYFUNCTION("""COMPUTED_VALUE"""),"197P")</f>
        <v>197P</v>
      </c>
      <c r="B167" s="108">
        <f ca="1">IFERROR(__xludf.DUMMYFUNCTION("""COMPUTED_VALUE"""),56)</f>
        <v>56</v>
      </c>
      <c r="C167" s="108">
        <f ca="1">IFERROR(__xludf.DUMMYFUNCTION("""COMPUTED_VALUE"""),53)</f>
        <v>53</v>
      </c>
      <c r="D167" s="156">
        <f t="shared" ca="1" si="1"/>
        <v>94.642857142857139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</row>
    <row r="168" spans="1:53" ht="14.25" customHeight="1" x14ac:dyDescent="0.25">
      <c r="A168" s="108" t="str">
        <f ca="1">IFERROR(__xludf.DUMMYFUNCTION("""COMPUTED_VALUE"""),"198K")</f>
        <v>198K</v>
      </c>
      <c r="B168" s="108">
        <f ca="1">IFERROR(__xludf.DUMMYFUNCTION("""COMPUTED_VALUE"""),50)</f>
        <v>50</v>
      </c>
      <c r="C168" s="108">
        <f ca="1">IFERROR(__xludf.DUMMYFUNCTION("""COMPUTED_VALUE"""),49)</f>
        <v>49</v>
      </c>
      <c r="D168" s="156">
        <f t="shared" ca="1" si="1"/>
        <v>98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</row>
    <row r="169" spans="1:53" ht="14.25" customHeight="1" x14ac:dyDescent="0.25">
      <c r="A169" s="108" t="str">
        <f ca="1">IFERROR(__xludf.DUMMYFUNCTION("""COMPUTED_VALUE"""),"199K")</f>
        <v>199K</v>
      </c>
      <c r="B169" s="108">
        <f ca="1">IFERROR(__xludf.DUMMYFUNCTION("""COMPUTED_VALUE"""),45)</f>
        <v>45</v>
      </c>
      <c r="C169" s="108">
        <f ca="1">IFERROR(__xludf.DUMMYFUNCTION("""COMPUTED_VALUE"""),23)</f>
        <v>23</v>
      </c>
      <c r="D169" s="156">
        <f t="shared" ca="1" si="1"/>
        <v>51.111111111111107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</row>
    <row r="170" spans="1:53" ht="14.25" customHeight="1" x14ac:dyDescent="0.25">
      <c r="A170" s="108" t="str">
        <f ca="1">IFERROR(__xludf.DUMMYFUNCTION("""COMPUTED_VALUE"""),"200P")</f>
        <v>200P</v>
      </c>
      <c r="B170" s="108" t="str">
        <f ca="1">IFERROR(__xludf.DUMMYFUNCTION("""COMPUTED_VALUE"""),"N.A.")</f>
        <v>N.A.</v>
      </c>
      <c r="C170" s="108" t="str">
        <f ca="1">IFERROR(__xludf.DUMMYFUNCTION("""COMPUTED_VALUE"""),"N.A.")</f>
        <v>N.A.</v>
      </c>
      <c r="D170" s="156" t="str">
        <f t="shared" ca="1" si="1"/>
        <v>N.A.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</row>
    <row r="171" spans="1:53" ht="14.25" customHeight="1" x14ac:dyDescent="0.25">
      <c r="A171" s="108" t="str">
        <f ca="1">IFERROR(__xludf.DUMMYFUNCTION("""COMPUTED_VALUE"""),"201K")</f>
        <v>201K</v>
      </c>
      <c r="B171" s="108" t="str">
        <f ca="1">IFERROR(__xludf.DUMMYFUNCTION("""COMPUTED_VALUE"""),"N.A.")</f>
        <v>N.A.</v>
      </c>
      <c r="C171" s="108" t="str">
        <f ca="1">IFERROR(__xludf.DUMMYFUNCTION("""COMPUTED_VALUE"""),"N.A.")</f>
        <v>N.A.</v>
      </c>
      <c r="D171" s="156" t="str">
        <f t="shared" ca="1" si="1"/>
        <v>N.A.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</row>
    <row r="172" spans="1:53" ht="14.25" customHeight="1" x14ac:dyDescent="0.25">
      <c r="A172" s="108" t="str">
        <f ca="1">IFERROR(__xludf.DUMMYFUNCTION("""COMPUTED_VALUE"""),"203K")</f>
        <v>203K</v>
      </c>
      <c r="B172" s="108">
        <f ca="1">IFERROR(__xludf.DUMMYFUNCTION("""COMPUTED_VALUE"""),96)</f>
        <v>96</v>
      </c>
      <c r="C172" s="108">
        <f ca="1">IFERROR(__xludf.DUMMYFUNCTION("""COMPUTED_VALUE"""),95)</f>
        <v>95</v>
      </c>
      <c r="D172" s="156">
        <f t="shared" ca="1" si="1"/>
        <v>98.958333333333343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</row>
    <row r="173" spans="1:53" ht="14.25" customHeight="1" x14ac:dyDescent="0.25">
      <c r="A173" s="108" t="str">
        <f ca="1">IFERROR(__xludf.DUMMYFUNCTION("""COMPUTED_VALUE"""),"206K")</f>
        <v>206K</v>
      </c>
      <c r="B173" s="108">
        <f ca="1">IFERROR(__xludf.DUMMYFUNCTION("""COMPUTED_VALUE"""),74)</f>
        <v>74</v>
      </c>
      <c r="C173" s="108">
        <f ca="1">IFERROR(__xludf.DUMMYFUNCTION("""COMPUTED_VALUE"""),73)</f>
        <v>73</v>
      </c>
      <c r="D173" s="156">
        <f t="shared" ca="1" si="1"/>
        <v>98.648648648648646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</row>
    <row r="174" spans="1:53" ht="14.25" customHeight="1" x14ac:dyDescent="0.25">
      <c r="A174" s="108" t="str">
        <f ca="1">IFERROR(__xludf.DUMMYFUNCTION("""COMPUTED_VALUE"""),"207K")</f>
        <v>207K</v>
      </c>
      <c r="B174" s="108">
        <f ca="1">IFERROR(__xludf.DUMMYFUNCTION("""COMPUTED_VALUE"""),75)</f>
        <v>75</v>
      </c>
      <c r="C174" s="108">
        <f ca="1">IFERROR(__xludf.DUMMYFUNCTION("""COMPUTED_VALUE"""),71)</f>
        <v>71</v>
      </c>
      <c r="D174" s="156">
        <f t="shared" ca="1" si="1"/>
        <v>94.666666666666671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</row>
    <row r="175" spans="1:53" ht="14.25" customHeight="1" x14ac:dyDescent="0.25">
      <c r="A175" s="108" t="str">
        <f ca="1">IFERROR(__xludf.DUMMYFUNCTION("""COMPUTED_VALUE"""),"208K")</f>
        <v>208K</v>
      </c>
      <c r="B175" s="108">
        <f ca="1">IFERROR(__xludf.DUMMYFUNCTION("""COMPUTED_VALUE"""),72)</f>
        <v>72</v>
      </c>
      <c r="C175" s="108">
        <f ca="1">IFERROR(__xludf.DUMMYFUNCTION("""COMPUTED_VALUE"""),71)</f>
        <v>71</v>
      </c>
      <c r="D175" s="156">
        <f t="shared" ca="1" si="1"/>
        <v>98.611111111111114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</row>
    <row r="176" spans="1:53" ht="14.25" customHeight="1" x14ac:dyDescent="0.25">
      <c r="A176" s="108" t="str">
        <f ca="1">IFERROR(__xludf.DUMMYFUNCTION("""COMPUTED_VALUE"""),"209P")</f>
        <v>209P</v>
      </c>
      <c r="B176" s="108" t="str">
        <f ca="1">IFERROR(__xludf.DUMMYFUNCTION("""COMPUTED_VALUE"""),"N.A.")</f>
        <v>N.A.</v>
      </c>
      <c r="C176" s="108" t="str">
        <f ca="1">IFERROR(__xludf.DUMMYFUNCTION("""COMPUTED_VALUE"""),"N.A.")</f>
        <v>N.A.</v>
      </c>
      <c r="D176" s="156" t="str">
        <f t="shared" ca="1" si="1"/>
        <v>N.A.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</row>
    <row r="177" spans="1:53" ht="14.25" customHeight="1" x14ac:dyDescent="0.25">
      <c r="A177" s="108" t="str">
        <f ca="1">IFERROR(__xludf.DUMMYFUNCTION("""COMPUTED_VALUE"""),"210K")</f>
        <v>210K</v>
      </c>
      <c r="B177" s="108">
        <f ca="1">IFERROR(__xludf.DUMMYFUNCTION("""COMPUTED_VALUE"""),65)</f>
        <v>65</v>
      </c>
      <c r="C177" s="108">
        <f ca="1">IFERROR(__xludf.DUMMYFUNCTION("""COMPUTED_VALUE"""),65)</f>
        <v>65</v>
      </c>
      <c r="D177" s="156">
        <f t="shared" ca="1" si="1"/>
        <v>100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</row>
    <row r="178" spans="1:53" ht="14.25" customHeight="1" x14ac:dyDescent="0.25">
      <c r="A178" s="108" t="str">
        <f ca="1">IFERROR(__xludf.DUMMYFUNCTION("""COMPUTED_VALUE"""),"211K")</f>
        <v>211K</v>
      </c>
      <c r="B178" s="108">
        <f ca="1">IFERROR(__xludf.DUMMYFUNCTION("""COMPUTED_VALUE"""),59)</f>
        <v>59</v>
      </c>
      <c r="C178" s="108">
        <f ca="1">IFERROR(__xludf.DUMMYFUNCTION("""COMPUTED_VALUE"""),52)</f>
        <v>52</v>
      </c>
      <c r="D178" s="156">
        <f t="shared" ca="1" si="1"/>
        <v>88.135593220338976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</row>
    <row r="179" spans="1:53" ht="14.25" customHeight="1" x14ac:dyDescent="0.25">
      <c r="A179" s="108" t="str">
        <f ca="1">IFERROR(__xludf.DUMMYFUNCTION("""COMPUTED_VALUE"""),"212P")</f>
        <v>212P</v>
      </c>
      <c r="B179" s="108">
        <f ca="1">IFERROR(__xludf.DUMMYFUNCTION("""COMPUTED_VALUE"""),96)</f>
        <v>96</v>
      </c>
      <c r="C179" s="108">
        <f ca="1">IFERROR(__xludf.DUMMYFUNCTION("""COMPUTED_VALUE"""),96)</f>
        <v>96</v>
      </c>
      <c r="D179" s="156">
        <f t="shared" ca="1" si="1"/>
        <v>100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</row>
    <row r="180" spans="1:53" ht="14.25" customHeight="1" x14ac:dyDescent="0.25">
      <c r="A180" s="108" t="str">
        <f ca="1">IFERROR(__xludf.DUMMYFUNCTION("""COMPUTED_VALUE"""),"213P")</f>
        <v>213P</v>
      </c>
      <c r="B180" s="108">
        <f ca="1">IFERROR(__xludf.DUMMYFUNCTION("""COMPUTED_VALUE"""),70)</f>
        <v>70</v>
      </c>
      <c r="C180" s="108">
        <f ca="1">IFERROR(__xludf.DUMMYFUNCTION("""COMPUTED_VALUE"""),66)</f>
        <v>66</v>
      </c>
      <c r="D180" s="156">
        <f t="shared" ca="1" si="1"/>
        <v>94.285714285714278</v>
      </c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</row>
    <row r="181" spans="1:53" ht="14.25" customHeight="1" x14ac:dyDescent="0.25">
      <c r="A181" s="108" t="str">
        <f ca="1">IFERROR(__xludf.DUMMYFUNCTION("""COMPUTED_VALUE"""),"214K")</f>
        <v>214K</v>
      </c>
      <c r="B181" s="108">
        <f ca="1">IFERROR(__xludf.DUMMYFUNCTION("""COMPUTED_VALUE"""),98)</f>
        <v>98</v>
      </c>
      <c r="C181" s="108">
        <f ca="1">IFERROR(__xludf.DUMMYFUNCTION("""COMPUTED_VALUE"""),95)</f>
        <v>95</v>
      </c>
      <c r="D181" s="156">
        <f t="shared" ca="1" si="1"/>
        <v>96.938775510204081</v>
      </c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</row>
    <row r="182" spans="1:53" ht="14.25" customHeight="1" x14ac:dyDescent="0.25">
      <c r="A182" s="108" t="str">
        <f ca="1">IFERROR(__xludf.DUMMYFUNCTION("""COMPUTED_VALUE"""),"215K")</f>
        <v>215K</v>
      </c>
      <c r="B182" s="108">
        <f ca="1">IFERROR(__xludf.DUMMYFUNCTION("""COMPUTED_VALUE"""),99)</f>
        <v>99</v>
      </c>
      <c r="C182" s="108">
        <f ca="1">IFERROR(__xludf.DUMMYFUNCTION("""COMPUTED_VALUE"""),99)</f>
        <v>99</v>
      </c>
      <c r="D182" s="156">
        <f t="shared" ca="1" si="1"/>
        <v>100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</row>
    <row r="183" spans="1:53" ht="14.25" customHeight="1" x14ac:dyDescent="0.25">
      <c r="A183" s="108" t="str">
        <f ca="1">IFERROR(__xludf.DUMMYFUNCTION("""COMPUTED_VALUE"""),"218K")</f>
        <v>218K</v>
      </c>
      <c r="B183" s="108">
        <f ca="1">IFERROR(__xludf.DUMMYFUNCTION("""COMPUTED_VALUE"""),92)</f>
        <v>92</v>
      </c>
      <c r="C183" s="108">
        <f ca="1">IFERROR(__xludf.DUMMYFUNCTION("""COMPUTED_VALUE"""),92)</f>
        <v>92</v>
      </c>
      <c r="D183" s="156">
        <f t="shared" ca="1" si="1"/>
        <v>100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</row>
    <row r="184" spans="1:53" ht="14.25" customHeight="1" x14ac:dyDescent="0.25">
      <c r="A184" s="108" t="str">
        <f ca="1">IFERROR(__xludf.DUMMYFUNCTION("""COMPUTED_VALUE"""),"219K")</f>
        <v>219K</v>
      </c>
      <c r="B184" s="108">
        <f ca="1">IFERROR(__xludf.DUMMYFUNCTION("""COMPUTED_VALUE"""),60)</f>
        <v>60</v>
      </c>
      <c r="C184" s="108">
        <f ca="1">IFERROR(__xludf.DUMMYFUNCTION("""COMPUTED_VALUE"""),50)</f>
        <v>50</v>
      </c>
      <c r="D184" s="156">
        <f t="shared" ca="1" si="1"/>
        <v>83.333333333333343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</row>
    <row r="185" spans="1:53" ht="14.25" customHeight="1" x14ac:dyDescent="0.25">
      <c r="A185" s="108" t="str">
        <f ca="1">IFERROR(__xludf.DUMMYFUNCTION("""COMPUTED_VALUE"""),"220K")</f>
        <v>220K</v>
      </c>
      <c r="B185" s="108">
        <f ca="1">IFERROR(__xludf.DUMMYFUNCTION("""COMPUTED_VALUE"""),79)</f>
        <v>79</v>
      </c>
      <c r="C185" s="108">
        <f ca="1">IFERROR(__xludf.DUMMYFUNCTION("""COMPUTED_VALUE"""),78)</f>
        <v>78</v>
      </c>
      <c r="D185" s="156">
        <f t="shared" ca="1" si="1"/>
        <v>98.734177215189874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</row>
    <row r="186" spans="1:53" ht="14.25" customHeight="1" x14ac:dyDescent="0.25">
      <c r="A186" s="108" t="str">
        <f ca="1">IFERROR(__xludf.DUMMYFUNCTION("""COMPUTED_VALUE"""),"223K")</f>
        <v>223K</v>
      </c>
      <c r="B186" s="108" t="str">
        <f ca="1">IFERROR(__xludf.DUMMYFUNCTION("""COMPUTED_VALUE"""),"N.A.")</f>
        <v>N.A.</v>
      </c>
      <c r="C186" s="108" t="str">
        <f ca="1">IFERROR(__xludf.DUMMYFUNCTION("""COMPUTED_VALUE"""),"N.A.")</f>
        <v>N.A.</v>
      </c>
      <c r="D186" s="156" t="str">
        <f t="shared" ca="1" si="1"/>
        <v>N.A.</v>
      </c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</row>
    <row r="187" spans="1:53" ht="14.25" customHeight="1" x14ac:dyDescent="0.25">
      <c r="A187" s="108" t="str">
        <f ca="1">IFERROR(__xludf.DUMMYFUNCTION("""COMPUTED_VALUE"""),"227K")</f>
        <v>227K</v>
      </c>
      <c r="B187" s="108" t="str">
        <f ca="1">IFERROR(__xludf.DUMMYFUNCTION("""COMPUTED_VALUE"""),"N.A.")</f>
        <v>N.A.</v>
      </c>
      <c r="C187" s="108" t="str">
        <f ca="1">IFERROR(__xludf.DUMMYFUNCTION("""COMPUTED_VALUE"""),"N.A.")</f>
        <v>N.A.</v>
      </c>
      <c r="D187" s="156" t="str">
        <f t="shared" ca="1" si="1"/>
        <v>N.A.</v>
      </c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</row>
    <row r="188" spans="1:53" ht="14.25" customHeight="1" x14ac:dyDescent="0.25">
      <c r="A188" s="108" t="str">
        <f ca="1">IFERROR(__xludf.DUMMYFUNCTION("""COMPUTED_VALUE"""),"228P")</f>
        <v>228P</v>
      </c>
      <c r="B188" s="108" t="str">
        <f ca="1">IFERROR(__xludf.DUMMYFUNCTION("""COMPUTED_VALUE"""),"N.A.")</f>
        <v>N.A.</v>
      </c>
      <c r="C188" s="108" t="str">
        <f ca="1">IFERROR(__xludf.DUMMYFUNCTION("""COMPUTED_VALUE"""),"N.A.")</f>
        <v>N.A.</v>
      </c>
      <c r="D188" s="156" t="str">
        <f t="shared" ca="1" si="1"/>
        <v>N.A.</v>
      </c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</row>
    <row r="189" spans="1:53" ht="14.25" customHeight="1" x14ac:dyDescent="0.25">
      <c r="A189" s="108" t="str">
        <f ca="1">IFERROR(__xludf.DUMMYFUNCTION("""COMPUTED_VALUE"""),"229K")</f>
        <v>229K</v>
      </c>
      <c r="B189" s="108" t="str">
        <f ca="1">IFERROR(__xludf.DUMMYFUNCTION("""COMPUTED_VALUE"""),"N.A.")</f>
        <v>N.A.</v>
      </c>
      <c r="C189" s="108" t="str">
        <f ca="1">IFERROR(__xludf.DUMMYFUNCTION("""COMPUTED_VALUE"""),"N.A.")</f>
        <v>N.A.</v>
      </c>
      <c r="D189" s="156" t="str">
        <f t="shared" ca="1" si="1"/>
        <v>N.A.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</row>
    <row r="190" spans="1:53" ht="14.25" customHeight="1" x14ac:dyDescent="0.25">
      <c r="A190" s="108" t="str">
        <f ca="1">IFERROR(__xludf.DUMMYFUNCTION("""COMPUTED_VALUE"""),"230K")</f>
        <v>230K</v>
      </c>
      <c r="B190" s="108" t="str">
        <f ca="1">IFERROR(__xludf.DUMMYFUNCTION("""COMPUTED_VALUE"""),"N.A.")</f>
        <v>N.A.</v>
      </c>
      <c r="C190" s="108" t="str">
        <f ca="1">IFERROR(__xludf.DUMMYFUNCTION("""COMPUTED_VALUE"""),"N.A.")</f>
        <v>N.A.</v>
      </c>
      <c r="D190" s="156" t="str">
        <f t="shared" ca="1" si="1"/>
        <v>N.A.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</row>
    <row r="191" spans="1:53" ht="14.25" customHeight="1" x14ac:dyDescent="0.25">
      <c r="A191" s="108" t="str">
        <f ca="1">IFERROR(__xludf.DUMMYFUNCTION("""COMPUTED_VALUE"""),"231K")</f>
        <v>231K</v>
      </c>
      <c r="B191" s="108" t="str">
        <f ca="1">IFERROR(__xludf.DUMMYFUNCTION("""COMPUTED_VALUE"""),"N.A.")</f>
        <v>N.A.</v>
      </c>
      <c r="C191" s="108" t="str">
        <f ca="1">IFERROR(__xludf.DUMMYFUNCTION("""COMPUTED_VALUE"""),"N.A.")</f>
        <v>N.A.</v>
      </c>
      <c r="D191" s="156" t="str">
        <f t="shared" ca="1" si="1"/>
        <v>N.A.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</row>
    <row r="192" spans="1:53" ht="14.25" customHeight="1" x14ac:dyDescent="0.25">
      <c r="A192" s="108" t="str">
        <f ca="1">IFERROR(__xludf.DUMMYFUNCTION("""COMPUTED_VALUE"""),"232K")</f>
        <v>232K</v>
      </c>
      <c r="B192" s="108" t="str">
        <f ca="1">IFERROR(__xludf.DUMMYFUNCTION("""COMPUTED_VALUE"""),"N.A.")</f>
        <v>N.A.</v>
      </c>
      <c r="C192" s="108" t="str">
        <f ca="1">IFERROR(__xludf.DUMMYFUNCTION("""COMPUTED_VALUE"""),"N.A.")</f>
        <v>N.A.</v>
      </c>
      <c r="D192" s="156" t="str">
        <f t="shared" ca="1" si="1"/>
        <v>N.A.</v>
      </c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</row>
    <row r="193" spans="1:53" ht="14.25" customHeight="1" x14ac:dyDescent="0.25">
      <c r="A193" s="108" t="str">
        <f ca="1">IFERROR(__xludf.DUMMYFUNCTION("""COMPUTED_VALUE"""),"233K")</f>
        <v>233K</v>
      </c>
      <c r="B193" s="108" t="str">
        <f ca="1">IFERROR(__xludf.DUMMYFUNCTION("""COMPUTED_VALUE"""),"N.A.")</f>
        <v>N.A.</v>
      </c>
      <c r="C193" s="108" t="str">
        <f ca="1">IFERROR(__xludf.DUMMYFUNCTION("""COMPUTED_VALUE"""),"N.A.")</f>
        <v>N.A.</v>
      </c>
      <c r="D193" s="156" t="str">
        <f t="shared" ca="1" si="1"/>
        <v>N.A.</v>
      </c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</row>
    <row r="194" spans="1:53" ht="14.25" customHeight="1" x14ac:dyDescent="0.25">
      <c r="A194" s="108" t="str">
        <f ca="1">IFERROR(__xludf.DUMMYFUNCTION("""COMPUTED_VALUE"""),"234K")</f>
        <v>234K</v>
      </c>
      <c r="B194" s="108" t="str">
        <f ca="1">IFERROR(__xludf.DUMMYFUNCTION("""COMPUTED_VALUE"""),"N.A.")</f>
        <v>N.A.</v>
      </c>
      <c r="C194" s="108" t="str">
        <f ca="1">IFERROR(__xludf.DUMMYFUNCTION("""COMPUTED_VALUE"""),"N.A.")</f>
        <v>N.A.</v>
      </c>
      <c r="D194" s="156" t="str">
        <f t="shared" ca="1" si="1"/>
        <v>N.A.</v>
      </c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</row>
    <row r="195" spans="1:53" ht="14.25" customHeight="1" x14ac:dyDescent="0.25">
      <c r="A195" s="108" t="str">
        <f ca="1">IFERROR(__xludf.DUMMYFUNCTION("""COMPUTED_VALUE"""),"235K")</f>
        <v>235K</v>
      </c>
      <c r="B195" s="108">
        <f ca="1">IFERROR(__xludf.DUMMYFUNCTION("""COMPUTED_VALUE"""),60)</f>
        <v>60</v>
      </c>
      <c r="C195" s="108">
        <f ca="1">IFERROR(__xludf.DUMMYFUNCTION("""COMPUTED_VALUE"""),56)</f>
        <v>56</v>
      </c>
      <c r="D195" s="156">
        <f t="shared" ca="1" si="1"/>
        <v>93.333333333333329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</row>
    <row r="196" spans="1:53" ht="14.25" customHeight="1" x14ac:dyDescent="0.25">
      <c r="A196" s="70"/>
      <c r="B196" s="70"/>
      <c r="C196" s="70"/>
      <c r="D196" s="157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</row>
    <row r="197" spans="1:53" ht="14.25" customHeight="1" x14ac:dyDescent="0.25">
      <c r="A197" s="70"/>
      <c r="B197" s="70"/>
      <c r="C197" s="70"/>
      <c r="D197" s="157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</row>
    <row r="198" spans="1:53" ht="14.25" customHeight="1" x14ac:dyDescent="0.25">
      <c r="A198" s="70"/>
      <c r="B198" s="70"/>
      <c r="C198" s="70"/>
      <c r="D198" s="157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</row>
    <row r="199" spans="1:53" ht="14.25" customHeight="1" x14ac:dyDescent="0.25">
      <c r="A199" s="70"/>
      <c r="B199" s="70"/>
      <c r="C199" s="70"/>
      <c r="D199" s="157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</row>
    <row r="200" spans="1:53" ht="14.25" customHeight="1" x14ac:dyDescent="0.25">
      <c r="A200" s="70"/>
      <c r="B200" s="70"/>
      <c r="C200" s="70"/>
      <c r="D200" s="157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</row>
    <row r="201" spans="1:53" ht="14.25" customHeight="1" x14ac:dyDescent="0.25">
      <c r="A201" s="70"/>
      <c r="B201" s="70"/>
      <c r="C201" s="70"/>
      <c r="D201" s="157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</row>
    <row r="202" spans="1:53" ht="14.25" customHeight="1" x14ac:dyDescent="0.25">
      <c r="A202" s="70"/>
      <c r="B202" s="70"/>
      <c r="C202" s="70"/>
      <c r="D202" s="157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</row>
    <row r="203" spans="1:53" ht="14.25" customHeight="1" x14ac:dyDescent="0.25">
      <c r="A203" s="70"/>
      <c r="B203" s="70"/>
      <c r="C203" s="70"/>
      <c r="D203" s="157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</row>
    <row r="204" spans="1:53" ht="14.25" customHeight="1" x14ac:dyDescent="0.25">
      <c r="A204" s="70"/>
      <c r="B204" s="70"/>
      <c r="C204" s="70"/>
      <c r="D204" s="157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</row>
    <row r="205" spans="1:53" ht="14.25" customHeight="1" x14ac:dyDescent="0.25">
      <c r="A205" s="70"/>
      <c r="B205" s="70"/>
      <c r="C205" s="70"/>
      <c r="D205" s="157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</row>
    <row r="206" spans="1:53" ht="14.25" customHeight="1" x14ac:dyDescent="0.25">
      <c r="A206" s="70"/>
      <c r="B206" s="70"/>
      <c r="C206" s="70"/>
      <c r="D206" s="157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</row>
    <row r="207" spans="1:53" ht="14.25" customHeight="1" x14ac:dyDescent="0.25">
      <c r="A207" s="70"/>
      <c r="B207" s="70"/>
      <c r="C207" s="70"/>
      <c r="D207" s="157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</row>
    <row r="208" spans="1:53" ht="14.25" customHeight="1" x14ac:dyDescent="0.25">
      <c r="A208" s="70"/>
      <c r="B208" s="70"/>
      <c r="C208" s="70"/>
      <c r="D208" s="157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</row>
    <row r="209" spans="1:53" ht="14.25" customHeight="1" x14ac:dyDescent="0.25">
      <c r="A209" s="70"/>
      <c r="B209" s="70"/>
      <c r="C209" s="70"/>
      <c r="D209" s="157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</row>
    <row r="210" spans="1:53" ht="14.25" customHeight="1" x14ac:dyDescent="0.25">
      <c r="A210" s="70"/>
      <c r="B210" s="70"/>
      <c r="C210" s="70"/>
      <c r="D210" s="157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</row>
    <row r="211" spans="1:53" ht="14.25" customHeight="1" x14ac:dyDescent="0.25">
      <c r="A211" s="70"/>
      <c r="B211" s="70"/>
      <c r="C211" s="70"/>
      <c r="D211" s="157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</row>
    <row r="212" spans="1:53" ht="14.25" customHeight="1" x14ac:dyDescent="0.25">
      <c r="A212" s="70"/>
      <c r="B212" s="70"/>
      <c r="C212" s="70"/>
      <c r="D212" s="157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</row>
    <row r="213" spans="1:53" ht="14.25" customHeight="1" x14ac:dyDescent="0.25">
      <c r="A213" s="70"/>
      <c r="B213" s="70"/>
      <c r="C213" s="70"/>
      <c r="D213" s="157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</row>
    <row r="214" spans="1:53" ht="14.25" customHeight="1" x14ac:dyDescent="0.25">
      <c r="A214" s="70"/>
      <c r="B214" s="70"/>
      <c r="C214" s="70"/>
      <c r="D214" s="157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</row>
    <row r="215" spans="1:53" ht="14.25" customHeight="1" x14ac:dyDescent="0.25">
      <c r="A215" s="70"/>
      <c r="B215" s="70"/>
      <c r="C215" s="70"/>
      <c r="D215" s="157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</row>
    <row r="216" spans="1:53" ht="14.25" customHeight="1" x14ac:dyDescent="0.25">
      <c r="A216" s="70"/>
      <c r="B216" s="70"/>
      <c r="C216" s="70"/>
      <c r="D216" s="157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</row>
    <row r="217" spans="1:53" ht="14.25" customHeight="1" x14ac:dyDescent="0.25">
      <c r="A217" s="70"/>
      <c r="B217" s="70"/>
      <c r="C217" s="70"/>
      <c r="D217" s="157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</row>
    <row r="218" spans="1:53" ht="14.25" customHeight="1" x14ac:dyDescent="0.25">
      <c r="A218" s="70"/>
      <c r="B218" s="70"/>
      <c r="C218" s="70"/>
      <c r="D218" s="157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</row>
    <row r="219" spans="1:53" ht="14.25" customHeight="1" x14ac:dyDescent="0.25">
      <c r="A219" s="70"/>
      <c r="B219" s="70"/>
      <c r="C219" s="70"/>
      <c r="D219" s="157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</row>
    <row r="220" spans="1:53" ht="14.25" customHeight="1" x14ac:dyDescent="0.25">
      <c r="A220" s="70"/>
      <c r="B220" s="70"/>
      <c r="C220" s="70"/>
      <c r="D220" s="157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</row>
    <row r="221" spans="1:53" ht="14.25" customHeight="1" x14ac:dyDescent="0.25">
      <c r="A221" s="70"/>
      <c r="B221" s="70"/>
      <c r="C221" s="70"/>
      <c r="D221" s="157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</row>
    <row r="222" spans="1:53" ht="14.25" customHeight="1" x14ac:dyDescent="0.25">
      <c r="A222" s="70"/>
      <c r="B222" s="70"/>
      <c r="C222" s="70"/>
      <c r="D222" s="157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</row>
    <row r="223" spans="1:53" ht="14.25" customHeight="1" x14ac:dyDescent="0.25">
      <c r="A223" s="70"/>
      <c r="B223" s="70"/>
      <c r="C223" s="70"/>
      <c r="D223" s="157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</row>
    <row r="224" spans="1:53" ht="14.25" customHeight="1" x14ac:dyDescent="0.25">
      <c r="A224" s="70"/>
      <c r="B224" s="70"/>
      <c r="C224" s="70"/>
      <c r="D224" s="157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</row>
    <row r="225" spans="1:53" ht="14.25" customHeight="1" x14ac:dyDescent="0.25">
      <c r="A225" s="70"/>
      <c r="B225" s="70"/>
      <c r="C225" s="70"/>
      <c r="D225" s="157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</row>
    <row r="226" spans="1:53" ht="14.25" customHeight="1" x14ac:dyDescent="0.25">
      <c r="A226" s="70"/>
      <c r="B226" s="70"/>
      <c r="C226" s="70"/>
      <c r="D226" s="157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</row>
    <row r="227" spans="1:53" ht="14.25" customHeight="1" x14ac:dyDescent="0.25">
      <c r="A227" s="70"/>
      <c r="B227" s="70"/>
      <c r="C227" s="70"/>
      <c r="D227" s="157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</row>
    <row r="228" spans="1:53" ht="14.25" customHeight="1" x14ac:dyDescent="0.25">
      <c r="A228" s="70"/>
      <c r="B228" s="70"/>
      <c r="C228" s="70"/>
      <c r="D228" s="157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</row>
    <row r="229" spans="1:53" ht="14.25" customHeight="1" x14ac:dyDescent="0.25">
      <c r="A229" s="70"/>
      <c r="B229" s="70"/>
      <c r="C229" s="70"/>
      <c r="D229" s="157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</row>
    <row r="230" spans="1:53" ht="14.25" customHeight="1" x14ac:dyDescent="0.25">
      <c r="A230" s="70"/>
      <c r="B230" s="70"/>
      <c r="C230" s="70"/>
      <c r="D230" s="157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</row>
    <row r="231" spans="1:53" ht="14.25" customHeight="1" x14ac:dyDescent="0.25">
      <c r="A231" s="70"/>
      <c r="B231" s="70"/>
      <c r="C231" s="70"/>
      <c r="D231" s="157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</row>
    <row r="232" spans="1:53" ht="14.25" customHeight="1" x14ac:dyDescent="0.25">
      <c r="A232" s="70"/>
      <c r="B232" s="70"/>
      <c r="C232" s="70"/>
      <c r="D232" s="157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</row>
    <row r="233" spans="1:53" ht="14.25" customHeight="1" x14ac:dyDescent="0.25">
      <c r="A233" s="70"/>
      <c r="B233" s="70"/>
      <c r="C233" s="70"/>
      <c r="D233" s="157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</row>
    <row r="234" spans="1:53" ht="14.25" customHeight="1" x14ac:dyDescent="0.25">
      <c r="A234" s="70"/>
      <c r="B234" s="70"/>
      <c r="C234" s="70"/>
      <c r="D234" s="157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</row>
    <row r="235" spans="1:53" ht="14.25" customHeight="1" x14ac:dyDescent="0.25">
      <c r="A235" s="70"/>
      <c r="B235" s="70"/>
      <c r="C235" s="70"/>
      <c r="D235" s="157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</row>
    <row r="236" spans="1:53" ht="14.25" customHeight="1" x14ac:dyDescent="0.25">
      <c r="A236" s="70"/>
      <c r="B236" s="70"/>
      <c r="C236" s="70"/>
      <c r="D236" s="157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</row>
    <row r="237" spans="1:53" ht="14.25" customHeight="1" x14ac:dyDescent="0.25">
      <c r="A237" s="70"/>
      <c r="B237" s="70"/>
      <c r="C237" s="124"/>
      <c r="D237" s="158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</row>
    <row r="238" spans="1:53" ht="14.25" customHeight="1" x14ac:dyDescent="0.25">
      <c r="A238" s="124"/>
      <c r="B238" s="124"/>
      <c r="C238" s="124"/>
      <c r="D238" s="158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</row>
    <row r="239" spans="1:53" ht="14.25" customHeight="1" x14ac:dyDescent="0.25">
      <c r="A239" s="124"/>
      <c r="B239" s="124"/>
      <c r="C239" s="124"/>
      <c r="D239" s="158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</row>
    <row r="240" spans="1:53" ht="14.25" customHeight="1" x14ac:dyDescent="0.25">
      <c r="A240" s="124"/>
      <c r="B240" s="124"/>
      <c r="C240" s="124"/>
      <c r="D240" s="158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</row>
    <row r="241" spans="1:53" ht="14.25" customHeight="1" x14ac:dyDescent="0.25">
      <c r="A241" s="124"/>
      <c r="B241" s="124"/>
      <c r="C241" s="124"/>
      <c r="D241" s="158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</row>
    <row r="242" spans="1:53" ht="14.25" customHeight="1" x14ac:dyDescent="0.25">
      <c r="A242" s="124"/>
      <c r="B242" s="124"/>
      <c r="C242" s="124"/>
      <c r="D242" s="158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</row>
    <row r="243" spans="1:53" ht="14.25" customHeight="1" x14ac:dyDescent="0.25">
      <c r="A243" s="124"/>
      <c r="B243" s="124"/>
      <c r="C243" s="124"/>
      <c r="D243" s="158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</row>
    <row r="244" spans="1:53" ht="14.25" customHeight="1" x14ac:dyDescent="0.25">
      <c r="A244" s="124"/>
      <c r="B244" s="124"/>
      <c r="C244" s="124"/>
      <c r="D244" s="158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</row>
    <row r="245" spans="1:53" ht="14.25" customHeight="1" x14ac:dyDescent="0.25">
      <c r="A245" s="124"/>
      <c r="B245" s="124"/>
      <c r="C245" s="124"/>
      <c r="D245" s="158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</row>
    <row r="246" spans="1:53" ht="14.25" customHeight="1" x14ac:dyDescent="0.25">
      <c r="A246" s="124"/>
      <c r="B246" s="124"/>
      <c r="C246" s="124"/>
      <c r="D246" s="158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</row>
    <row r="247" spans="1:53" ht="14.25" customHeight="1" x14ac:dyDescent="0.25">
      <c r="A247" s="124"/>
      <c r="B247" s="124"/>
      <c r="C247" s="124"/>
      <c r="D247" s="158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</row>
    <row r="248" spans="1:53" ht="14.25" customHeight="1" x14ac:dyDescent="0.25">
      <c r="A248" s="124"/>
      <c r="B248" s="124"/>
      <c r="C248" s="124"/>
      <c r="D248" s="158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</row>
    <row r="249" spans="1:53" ht="14.25" customHeight="1" x14ac:dyDescent="0.25">
      <c r="A249" s="124"/>
      <c r="B249" s="124"/>
      <c r="C249" s="124"/>
      <c r="D249" s="158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9"/>
      <c r="AW249" s="99"/>
      <c r="AX249" s="99"/>
      <c r="AY249" s="99"/>
      <c r="AZ249" s="99"/>
      <c r="BA249" s="99"/>
    </row>
    <row r="250" spans="1:53" ht="14.25" customHeight="1" x14ac:dyDescent="0.25">
      <c r="A250" s="124"/>
      <c r="B250" s="124"/>
      <c r="C250" s="124"/>
      <c r="D250" s="158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</row>
    <row r="251" spans="1:53" ht="14.25" customHeight="1" x14ac:dyDescent="0.25">
      <c r="A251" s="124"/>
      <c r="B251" s="124"/>
      <c r="C251" s="124"/>
      <c r="D251" s="158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</row>
    <row r="252" spans="1:53" ht="14.25" customHeight="1" x14ac:dyDescent="0.25">
      <c r="A252" s="124"/>
      <c r="B252" s="124"/>
      <c r="C252" s="124"/>
      <c r="D252" s="158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</row>
    <row r="253" spans="1:53" ht="14.25" customHeight="1" x14ac:dyDescent="0.25">
      <c r="A253" s="124"/>
      <c r="B253" s="124"/>
      <c r="C253" s="124"/>
      <c r="D253" s="158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</row>
    <row r="254" spans="1:53" ht="14.25" customHeight="1" x14ac:dyDescent="0.25">
      <c r="A254" s="124"/>
      <c r="B254" s="124"/>
      <c r="C254" s="124"/>
      <c r="D254" s="158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</row>
    <row r="255" spans="1:53" ht="14.25" customHeight="1" x14ac:dyDescent="0.25">
      <c r="A255" s="124"/>
      <c r="B255" s="124"/>
      <c r="C255" s="124"/>
      <c r="D255" s="158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</row>
    <row r="256" spans="1:53" ht="14.25" customHeight="1" x14ac:dyDescent="0.25">
      <c r="A256" s="124"/>
      <c r="B256" s="124"/>
      <c r="C256" s="124"/>
      <c r="D256" s="158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</row>
    <row r="257" spans="1:53" ht="14.25" customHeight="1" x14ac:dyDescent="0.25">
      <c r="A257" s="124"/>
      <c r="B257" s="124"/>
      <c r="C257" s="124"/>
      <c r="D257" s="158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</row>
    <row r="258" spans="1:53" ht="14.25" customHeight="1" x14ac:dyDescent="0.25">
      <c r="A258" s="124"/>
      <c r="B258" s="124"/>
      <c r="C258" s="124"/>
      <c r="D258" s="158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</row>
    <row r="259" spans="1:53" ht="14.25" customHeight="1" x14ac:dyDescent="0.25">
      <c r="A259" s="124"/>
      <c r="B259" s="124"/>
      <c r="C259" s="124"/>
      <c r="D259" s="158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</row>
    <row r="260" spans="1:53" ht="14.25" customHeight="1" x14ac:dyDescent="0.25">
      <c r="A260" s="124"/>
      <c r="B260" s="124"/>
      <c r="C260" s="124"/>
      <c r="D260" s="158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</row>
    <row r="261" spans="1:53" ht="14.25" customHeight="1" x14ac:dyDescent="0.25">
      <c r="A261" s="124"/>
      <c r="B261" s="124"/>
      <c r="C261" s="124"/>
      <c r="D261" s="158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</row>
    <row r="262" spans="1:53" ht="14.25" customHeight="1" x14ac:dyDescent="0.25">
      <c r="A262" s="124"/>
      <c r="B262" s="124"/>
      <c r="C262" s="124"/>
      <c r="D262" s="158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</row>
    <row r="263" spans="1:53" ht="14.25" customHeight="1" x14ac:dyDescent="0.25">
      <c r="A263" s="124"/>
      <c r="B263" s="124"/>
      <c r="C263" s="124"/>
      <c r="D263" s="158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</row>
    <row r="264" spans="1:53" ht="14.25" customHeight="1" x14ac:dyDescent="0.25">
      <c r="A264" s="124"/>
      <c r="B264" s="124"/>
      <c r="C264" s="124"/>
      <c r="D264" s="158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</row>
    <row r="265" spans="1:53" ht="14.25" customHeight="1" x14ac:dyDescent="0.25">
      <c r="A265" s="124"/>
      <c r="B265" s="124"/>
      <c r="C265" s="124"/>
      <c r="D265" s="158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</row>
    <row r="266" spans="1:53" ht="14.25" customHeight="1" x14ac:dyDescent="0.25">
      <c r="A266" s="124"/>
      <c r="B266" s="124"/>
      <c r="C266" s="124"/>
      <c r="D266" s="158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</row>
    <row r="267" spans="1:53" ht="14.25" customHeight="1" x14ac:dyDescent="0.25">
      <c r="A267" s="124"/>
      <c r="B267" s="124"/>
      <c r="C267" s="124"/>
      <c r="D267" s="158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</row>
    <row r="268" spans="1:53" ht="14.25" customHeight="1" x14ac:dyDescent="0.25">
      <c r="A268" s="124"/>
      <c r="B268" s="124"/>
      <c r="C268" s="124"/>
      <c r="D268" s="158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</row>
    <row r="269" spans="1:53" ht="14.25" customHeight="1" x14ac:dyDescent="0.25">
      <c r="A269" s="124"/>
      <c r="B269" s="124"/>
      <c r="C269" s="124"/>
      <c r="D269" s="158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</row>
    <row r="270" spans="1:53" ht="14.25" customHeight="1" x14ac:dyDescent="0.25">
      <c r="A270" s="124"/>
      <c r="B270" s="124"/>
      <c r="C270" s="124"/>
      <c r="D270" s="158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</row>
    <row r="271" spans="1:53" ht="14.25" customHeight="1" x14ac:dyDescent="0.25">
      <c r="A271" s="124"/>
      <c r="B271" s="124"/>
      <c r="C271" s="124"/>
      <c r="D271" s="158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</row>
    <row r="272" spans="1:53" ht="14.25" customHeight="1" x14ac:dyDescent="0.25">
      <c r="A272" s="124"/>
      <c r="B272" s="124"/>
      <c r="C272" s="124"/>
      <c r="D272" s="158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</row>
    <row r="273" spans="1:53" ht="14.25" customHeight="1" x14ac:dyDescent="0.25">
      <c r="A273" s="124"/>
      <c r="B273" s="124"/>
      <c r="C273" s="124"/>
      <c r="D273" s="158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</row>
    <row r="274" spans="1:53" ht="14.25" customHeight="1" x14ac:dyDescent="0.25">
      <c r="A274" s="124"/>
      <c r="B274" s="124"/>
      <c r="C274" s="124"/>
      <c r="D274" s="158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</row>
    <row r="275" spans="1:53" ht="14.25" customHeight="1" x14ac:dyDescent="0.25">
      <c r="A275" s="124"/>
      <c r="B275" s="124"/>
      <c r="C275" s="124"/>
      <c r="D275" s="158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</row>
    <row r="276" spans="1:53" ht="14.25" customHeight="1" x14ac:dyDescent="0.25">
      <c r="A276" s="124"/>
      <c r="B276" s="124"/>
      <c r="C276" s="124"/>
      <c r="D276" s="158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</row>
    <row r="277" spans="1:53" ht="14.25" customHeight="1" x14ac:dyDescent="0.25">
      <c r="A277" s="124"/>
      <c r="B277" s="124"/>
      <c r="C277" s="124"/>
      <c r="D277" s="158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</row>
    <row r="278" spans="1:53" ht="14.25" customHeight="1" x14ac:dyDescent="0.25">
      <c r="A278" s="124"/>
      <c r="B278" s="124"/>
      <c r="C278" s="124"/>
      <c r="D278" s="158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</row>
    <row r="279" spans="1:53" ht="14.25" customHeight="1" x14ac:dyDescent="0.25">
      <c r="A279" s="124"/>
      <c r="B279" s="124"/>
      <c r="C279" s="124"/>
      <c r="D279" s="158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</row>
    <row r="280" spans="1:53" ht="14.25" customHeight="1" x14ac:dyDescent="0.25">
      <c r="A280" s="124"/>
      <c r="B280" s="124"/>
      <c r="C280" s="124"/>
      <c r="D280" s="158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</row>
    <row r="281" spans="1:53" ht="14.25" customHeight="1" x14ac:dyDescent="0.25">
      <c r="A281" s="124"/>
      <c r="B281" s="124"/>
      <c r="C281" s="124"/>
      <c r="D281" s="158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</row>
    <row r="282" spans="1:53" ht="14.25" customHeight="1" x14ac:dyDescent="0.25">
      <c r="A282" s="124"/>
      <c r="B282" s="124"/>
      <c r="C282" s="124"/>
      <c r="D282" s="158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</row>
    <row r="283" spans="1:53" ht="14.25" customHeight="1" x14ac:dyDescent="0.25">
      <c r="A283" s="124"/>
      <c r="B283" s="124"/>
      <c r="C283" s="124"/>
      <c r="D283" s="158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</row>
    <row r="284" spans="1:53" ht="14.25" customHeight="1" x14ac:dyDescent="0.25">
      <c r="A284" s="124"/>
      <c r="B284" s="124"/>
      <c r="C284" s="124"/>
      <c r="D284" s="158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</row>
    <row r="285" spans="1:53" ht="14.25" customHeight="1" x14ac:dyDescent="0.25">
      <c r="A285" s="124"/>
      <c r="B285" s="124"/>
      <c r="C285" s="124"/>
      <c r="D285" s="158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</row>
    <row r="286" spans="1:53" ht="14.25" customHeight="1" x14ac:dyDescent="0.25">
      <c r="A286" s="124"/>
      <c r="B286" s="124"/>
      <c r="C286" s="124"/>
      <c r="D286" s="158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</row>
    <row r="287" spans="1:53" ht="14.25" customHeight="1" x14ac:dyDescent="0.25">
      <c r="A287" s="124"/>
      <c r="B287" s="124"/>
      <c r="C287" s="124"/>
      <c r="D287" s="158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</row>
    <row r="288" spans="1:53" ht="14.25" customHeight="1" x14ac:dyDescent="0.25">
      <c r="A288" s="124"/>
      <c r="B288" s="124"/>
      <c r="C288" s="124"/>
      <c r="D288" s="158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</row>
    <row r="289" spans="1:53" ht="14.25" customHeight="1" x14ac:dyDescent="0.25">
      <c r="A289" s="124"/>
      <c r="B289" s="124"/>
      <c r="C289" s="124"/>
      <c r="D289" s="158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</row>
    <row r="290" spans="1:53" ht="14.25" customHeight="1" x14ac:dyDescent="0.25">
      <c r="A290" s="124"/>
      <c r="B290" s="124"/>
      <c r="C290" s="124"/>
      <c r="D290" s="158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</row>
    <row r="291" spans="1:53" ht="14.25" customHeight="1" x14ac:dyDescent="0.25">
      <c r="A291" s="124"/>
      <c r="B291" s="124"/>
      <c r="C291" s="124"/>
      <c r="D291" s="158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</row>
    <row r="292" spans="1:53" ht="14.25" customHeight="1" x14ac:dyDescent="0.25">
      <c r="A292" s="124"/>
      <c r="B292" s="124"/>
      <c r="C292" s="124"/>
      <c r="D292" s="158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</row>
    <row r="293" spans="1:53" ht="14.25" customHeight="1" x14ac:dyDescent="0.25">
      <c r="A293" s="124"/>
      <c r="B293" s="124"/>
      <c r="C293" s="124"/>
      <c r="D293" s="158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</row>
    <row r="294" spans="1:53" ht="14.25" customHeight="1" x14ac:dyDescent="0.25">
      <c r="A294" s="124"/>
      <c r="B294" s="124"/>
      <c r="C294" s="124"/>
      <c r="D294" s="158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</row>
    <row r="295" spans="1:53" ht="14.25" customHeight="1" x14ac:dyDescent="0.25">
      <c r="A295" s="124"/>
      <c r="B295" s="124"/>
      <c r="C295" s="124"/>
      <c r="D295" s="158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</row>
    <row r="296" spans="1:53" ht="14.25" customHeight="1" x14ac:dyDescent="0.25">
      <c r="A296" s="124"/>
      <c r="B296" s="124"/>
      <c r="C296" s="124"/>
      <c r="D296" s="158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</row>
    <row r="297" spans="1:53" ht="14.25" customHeight="1" x14ac:dyDescent="0.25">
      <c r="A297" s="124"/>
      <c r="B297" s="124"/>
      <c r="C297" s="124"/>
      <c r="D297" s="158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</row>
    <row r="298" spans="1:53" ht="14.25" customHeight="1" x14ac:dyDescent="0.25">
      <c r="A298" s="124"/>
      <c r="B298" s="124"/>
      <c r="C298" s="124"/>
      <c r="D298" s="158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</row>
    <row r="299" spans="1:53" ht="14.25" customHeight="1" x14ac:dyDescent="0.25">
      <c r="A299" s="124"/>
      <c r="B299" s="124"/>
      <c r="C299" s="124"/>
      <c r="D299" s="158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</row>
    <row r="300" spans="1:53" ht="14.25" customHeight="1" x14ac:dyDescent="0.25">
      <c r="A300" s="124"/>
      <c r="B300" s="124"/>
      <c r="C300" s="124"/>
      <c r="D300" s="158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</row>
    <row r="301" spans="1:53" ht="14.25" customHeight="1" x14ac:dyDescent="0.25">
      <c r="A301" s="124"/>
      <c r="B301" s="124"/>
      <c r="C301" s="124"/>
      <c r="D301" s="158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</row>
    <row r="302" spans="1:53" ht="14.25" customHeight="1" x14ac:dyDescent="0.25">
      <c r="A302" s="124"/>
      <c r="B302" s="124"/>
      <c r="C302" s="124"/>
      <c r="D302" s="158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</row>
    <row r="303" spans="1:53" ht="14.25" customHeight="1" x14ac:dyDescent="0.25">
      <c r="A303" s="124"/>
      <c r="B303" s="124"/>
      <c r="C303" s="124"/>
      <c r="D303" s="158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</row>
    <row r="304" spans="1:53" ht="14.25" customHeight="1" x14ac:dyDescent="0.25">
      <c r="A304" s="124"/>
      <c r="B304" s="124"/>
      <c r="C304" s="124"/>
      <c r="D304" s="158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</row>
    <row r="305" spans="1:53" ht="14.25" customHeight="1" x14ac:dyDescent="0.25">
      <c r="A305" s="124"/>
      <c r="B305" s="124"/>
      <c r="C305" s="124"/>
      <c r="D305" s="158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</row>
    <row r="306" spans="1:53" ht="14.25" customHeight="1" x14ac:dyDescent="0.25">
      <c r="A306" s="124"/>
      <c r="B306" s="124"/>
      <c r="C306" s="124"/>
      <c r="D306" s="158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</row>
    <row r="307" spans="1:53" ht="14.25" customHeight="1" x14ac:dyDescent="0.25">
      <c r="A307" s="124"/>
      <c r="B307" s="124"/>
      <c r="C307" s="124"/>
      <c r="D307" s="158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</row>
    <row r="308" spans="1:53" ht="14.25" customHeight="1" x14ac:dyDescent="0.25">
      <c r="A308" s="124"/>
      <c r="B308" s="124"/>
      <c r="C308" s="124"/>
      <c r="D308" s="158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</row>
    <row r="309" spans="1:53" ht="14.25" customHeight="1" x14ac:dyDescent="0.25">
      <c r="A309" s="124"/>
      <c r="B309" s="124"/>
      <c r="C309" s="124"/>
      <c r="D309" s="158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</row>
    <row r="310" spans="1:53" ht="14.25" customHeight="1" x14ac:dyDescent="0.25">
      <c r="A310" s="124"/>
      <c r="B310" s="124"/>
      <c r="C310" s="124"/>
      <c r="D310" s="158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</row>
    <row r="311" spans="1:53" ht="14.25" customHeight="1" x14ac:dyDescent="0.25">
      <c r="A311" s="124"/>
      <c r="B311" s="124"/>
      <c r="C311" s="124"/>
      <c r="D311" s="158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</row>
    <row r="312" spans="1:53" ht="14.25" customHeight="1" x14ac:dyDescent="0.25">
      <c r="A312" s="124"/>
      <c r="B312" s="124"/>
      <c r="C312" s="124"/>
      <c r="D312" s="158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</row>
    <row r="313" spans="1:53" ht="14.25" customHeight="1" x14ac:dyDescent="0.25">
      <c r="A313" s="124"/>
      <c r="B313" s="124"/>
      <c r="C313" s="124"/>
      <c r="D313" s="158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</row>
    <row r="314" spans="1:53" ht="14.25" customHeight="1" x14ac:dyDescent="0.25">
      <c r="A314" s="124"/>
      <c r="B314" s="124"/>
      <c r="C314" s="124"/>
      <c r="D314" s="158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</row>
    <row r="315" spans="1:53" ht="14.25" customHeight="1" x14ac:dyDescent="0.25">
      <c r="A315" s="124"/>
      <c r="B315" s="124"/>
      <c r="C315" s="124"/>
      <c r="D315" s="158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</row>
    <row r="316" spans="1:53" ht="14.25" customHeight="1" x14ac:dyDescent="0.25">
      <c r="A316" s="124"/>
      <c r="B316" s="124"/>
      <c r="C316" s="124"/>
      <c r="D316" s="158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</row>
    <row r="317" spans="1:53" ht="14.25" customHeight="1" x14ac:dyDescent="0.25">
      <c r="A317" s="124"/>
      <c r="B317" s="124"/>
      <c r="C317" s="124"/>
      <c r="D317" s="158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</row>
    <row r="318" spans="1:53" ht="14.25" customHeight="1" x14ac:dyDescent="0.25">
      <c r="A318" s="124"/>
      <c r="B318" s="124"/>
      <c r="C318" s="124"/>
      <c r="D318" s="158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</row>
    <row r="319" spans="1:53" ht="14.25" customHeight="1" x14ac:dyDescent="0.25">
      <c r="A319" s="124"/>
      <c r="B319" s="124"/>
      <c r="C319" s="124"/>
      <c r="D319" s="158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</row>
    <row r="320" spans="1:53" ht="14.25" customHeight="1" x14ac:dyDescent="0.25">
      <c r="A320" s="124"/>
      <c r="B320" s="124"/>
      <c r="C320" s="124"/>
      <c r="D320" s="158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</row>
    <row r="321" spans="1:53" ht="14.25" customHeight="1" x14ac:dyDescent="0.25">
      <c r="A321" s="124"/>
      <c r="B321" s="124"/>
      <c r="C321" s="124"/>
      <c r="D321" s="158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</row>
    <row r="322" spans="1:53" ht="14.25" customHeight="1" x14ac:dyDescent="0.25">
      <c r="A322" s="124"/>
      <c r="B322" s="124"/>
      <c r="C322" s="124"/>
      <c r="D322" s="158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</row>
    <row r="323" spans="1:53" ht="14.25" customHeight="1" x14ac:dyDescent="0.25">
      <c r="A323" s="124"/>
      <c r="B323" s="124"/>
      <c r="C323" s="124"/>
      <c r="D323" s="158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</row>
    <row r="324" spans="1:53" ht="14.25" customHeight="1" x14ac:dyDescent="0.25">
      <c r="A324" s="124"/>
      <c r="B324" s="124"/>
      <c r="C324" s="124"/>
      <c r="D324" s="158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</row>
    <row r="325" spans="1:53" ht="14.25" customHeight="1" x14ac:dyDescent="0.25">
      <c r="A325" s="124"/>
      <c r="B325" s="124"/>
      <c r="C325" s="124"/>
      <c r="D325" s="158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</row>
    <row r="326" spans="1:53" ht="14.25" customHeight="1" x14ac:dyDescent="0.25">
      <c r="A326" s="124"/>
      <c r="B326" s="124"/>
      <c r="C326" s="124"/>
      <c r="D326" s="158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</row>
    <row r="327" spans="1:53" ht="14.25" customHeight="1" x14ac:dyDescent="0.25">
      <c r="A327" s="124"/>
      <c r="B327" s="124"/>
      <c r="C327" s="124"/>
      <c r="D327" s="158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</row>
    <row r="328" spans="1:53" ht="14.25" customHeight="1" x14ac:dyDescent="0.25">
      <c r="A328" s="124"/>
      <c r="B328" s="124"/>
      <c r="C328" s="124"/>
      <c r="D328" s="158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</row>
    <row r="329" spans="1:53" ht="14.25" customHeight="1" x14ac:dyDescent="0.25">
      <c r="A329" s="124"/>
      <c r="B329" s="124"/>
      <c r="C329" s="124"/>
      <c r="D329" s="158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</row>
    <row r="330" spans="1:53" ht="14.25" customHeight="1" x14ac:dyDescent="0.25">
      <c r="A330" s="124"/>
      <c r="B330" s="124"/>
      <c r="C330" s="124"/>
      <c r="D330" s="158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</row>
    <row r="331" spans="1:53" ht="14.25" customHeight="1" x14ac:dyDescent="0.25">
      <c r="A331" s="124"/>
      <c r="B331" s="124"/>
      <c r="C331" s="124"/>
      <c r="D331" s="158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</row>
    <row r="332" spans="1:53" ht="14.25" customHeight="1" x14ac:dyDescent="0.25">
      <c r="A332" s="124"/>
      <c r="B332" s="124"/>
      <c r="C332" s="124"/>
      <c r="D332" s="158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</row>
    <row r="333" spans="1:53" ht="14.25" customHeight="1" x14ac:dyDescent="0.25">
      <c r="A333" s="124"/>
      <c r="B333" s="124"/>
      <c r="C333" s="124"/>
      <c r="D333" s="158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</row>
    <row r="334" spans="1:53" ht="14.25" customHeight="1" x14ac:dyDescent="0.25">
      <c r="A334" s="124"/>
      <c r="B334" s="124"/>
      <c r="C334" s="124"/>
      <c r="D334" s="158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</row>
    <row r="335" spans="1:53" ht="14.25" customHeight="1" x14ac:dyDescent="0.25">
      <c r="A335" s="124"/>
      <c r="B335" s="124"/>
      <c r="C335" s="124"/>
      <c r="D335" s="158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</row>
    <row r="336" spans="1:53" ht="14.25" customHeight="1" x14ac:dyDescent="0.25">
      <c r="A336" s="124"/>
      <c r="B336" s="124"/>
      <c r="C336" s="124"/>
      <c r="D336" s="158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</row>
    <row r="337" spans="1:53" ht="14.25" customHeight="1" x14ac:dyDescent="0.25">
      <c r="A337" s="124"/>
      <c r="B337" s="124"/>
      <c r="C337" s="124"/>
      <c r="D337" s="158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</row>
    <row r="338" spans="1:53" ht="14.25" customHeight="1" x14ac:dyDescent="0.25">
      <c r="A338" s="124"/>
      <c r="B338" s="124"/>
      <c r="C338" s="124"/>
      <c r="D338" s="158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</row>
    <row r="339" spans="1:53" ht="14.25" customHeight="1" x14ac:dyDescent="0.25">
      <c r="A339" s="124"/>
      <c r="B339" s="124"/>
      <c r="C339" s="124"/>
      <c r="D339" s="158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</row>
    <row r="340" spans="1:53" ht="14.25" customHeight="1" x14ac:dyDescent="0.25">
      <c r="A340" s="124"/>
      <c r="B340" s="124"/>
      <c r="C340" s="124"/>
      <c r="D340" s="158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</row>
    <row r="341" spans="1:53" ht="14.25" customHeight="1" x14ac:dyDescent="0.25">
      <c r="A341" s="124"/>
      <c r="B341" s="124"/>
      <c r="C341" s="124"/>
      <c r="D341" s="158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</row>
    <row r="342" spans="1:53" ht="14.25" customHeight="1" x14ac:dyDescent="0.25">
      <c r="A342" s="124"/>
      <c r="B342" s="124"/>
      <c r="C342" s="124"/>
      <c r="D342" s="158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</row>
    <row r="343" spans="1:53" ht="14.25" customHeight="1" x14ac:dyDescent="0.25">
      <c r="A343" s="124"/>
      <c r="B343" s="124"/>
      <c r="C343" s="124"/>
      <c r="D343" s="158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</row>
    <row r="344" spans="1:53" ht="14.25" customHeight="1" x14ac:dyDescent="0.25">
      <c r="A344" s="124"/>
      <c r="B344" s="124"/>
      <c r="C344" s="124"/>
      <c r="D344" s="158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</row>
    <row r="345" spans="1:53" ht="14.25" customHeight="1" x14ac:dyDescent="0.25">
      <c r="A345" s="124"/>
      <c r="B345" s="124"/>
      <c r="C345" s="124"/>
      <c r="D345" s="158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</row>
    <row r="346" spans="1:53" ht="14.25" customHeight="1" x14ac:dyDescent="0.25">
      <c r="A346" s="124"/>
      <c r="B346" s="124"/>
      <c r="C346" s="124"/>
      <c r="D346" s="158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</row>
    <row r="347" spans="1:53" ht="14.25" customHeight="1" x14ac:dyDescent="0.25">
      <c r="A347" s="124"/>
      <c r="B347" s="124"/>
      <c r="C347" s="124"/>
      <c r="D347" s="158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</row>
    <row r="348" spans="1:53" ht="14.25" customHeight="1" x14ac:dyDescent="0.25">
      <c r="A348" s="124"/>
      <c r="B348" s="124"/>
      <c r="C348" s="124"/>
      <c r="D348" s="158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</row>
    <row r="349" spans="1:53" ht="14.25" customHeight="1" x14ac:dyDescent="0.25">
      <c r="A349" s="124"/>
      <c r="B349" s="124"/>
      <c r="C349" s="124"/>
      <c r="D349" s="158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</row>
    <row r="350" spans="1:53" ht="14.25" customHeight="1" x14ac:dyDescent="0.25">
      <c r="A350" s="124"/>
      <c r="B350" s="124"/>
      <c r="C350" s="124"/>
      <c r="D350" s="158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</row>
    <row r="351" spans="1:53" ht="14.25" customHeight="1" x14ac:dyDescent="0.25">
      <c r="A351" s="124"/>
      <c r="B351" s="124"/>
      <c r="C351" s="124"/>
      <c r="D351" s="158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</row>
    <row r="352" spans="1:53" ht="14.25" customHeight="1" x14ac:dyDescent="0.25">
      <c r="A352" s="124"/>
      <c r="B352" s="124"/>
      <c r="C352" s="124"/>
      <c r="D352" s="158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</row>
    <row r="353" spans="1:53" ht="14.25" customHeight="1" x14ac:dyDescent="0.25">
      <c r="A353" s="124"/>
      <c r="B353" s="124"/>
      <c r="C353" s="124"/>
      <c r="D353" s="158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</row>
    <row r="354" spans="1:53" ht="14.25" customHeight="1" x14ac:dyDescent="0.25">
      <c r="A354" s="124"/>
      <c r="B354" s="124"/>
      <c r="C354" s="124"/>
      <c r="D354" s="158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</row>
    <row r="355" spans="1:53" ht="14.25" customHeight="1" x14ac:dyDescent="0.25">
      <c r="A355" s="124"/>
      <c r="B355" s="124"/>
      <c r="C355" s="124"/>
      <c r="D355" s="158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</row>
    <row r="356" spans="1:53" ht="14.25" customHeight="1" x14ac:dyDescent="0.25">
      <c r="A356" s="124"/>
      <c r="B356" s="124"/>
      <c r="C356" s="124"/>
      <c r="D356" s="158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</row>
    <row r="357" spans="1:53" ht="14.25" customHeight="1" x14ac:dyDescent="0.25">
      <c r="A357" s="124"/>
      <c r="B357" s="124"/>
      <c r="C357" s="124"/>
      <c r="D357" s="158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</row>
    <row r="358" spans="1:53" ht="14.25" customHeight="1" x14ac:dyDescent="0.25">
      <c r="A358" s="124"/>
      <c r="B358" s="124"/>
      <c r="C358" s="124"/>
      <c r="D358" s="158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</row>
    <row r="359" spans="1:53" ht="14.25" customHeight="1" x14ac:dyDescent="0.25">
      <c r="A359" s="124"/>
      <c r="B359" s="124"/>
      <c r="C359" s="124"/>
      <c r="D359" s="158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</row>
    <row r="360" spans="1:53" ht="14.25" customHeight="1" x14ac:dyDescent="0.25">
      <c r="A360" s="124"/>
      <c r="B360" s="124"/>
      <c r="C360" s="124"/>
      <c r="D360" s="158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</row>
    <row r="361" spans="1:53" ht="14.25" customHeight="1" x14ac:dyDescent="0.25">
      <c r="A361" s="124"/>
      <c r="B361" s="124"/>
      <c r="C361" s="124"/>
      <c r="D361" s="158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</row>
    <row r="362" spans="1:53" ht="14.25" customHeight="1" x14ac:dyDescent="0.25">
      <c r="A362" s="124"/>
      <c r="B362" s="124"/>
      <c r="C362" s="124"/>
      <c r="D362" s="158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</row>
    <row r="363" spans="1:53" ht="14.25" customHeight="1" x14ac:dyDescent="0.25">
      <c r="A363" s="124"/>
      <c r="B363" s="124"/>
      <c r="C363" s="124"/>
      <c r="D363" s="158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</row>
    <row r="364" spans="1:53" ht="14.25" customHeight="1" x14ac:dyDescent="0.25">
      <c r="A364" s="124"/>
      <c r="B364" s="124"/>
      <c r="C364" s="124"/>
      <c r="D364" s="158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</row>
    <row r="365" spans="1:53" ht="14.25" customHeight="1" x14ac:dyDescent="0.25">
      <c r="A365" s="124"/>
      <c r="B365" s="124"/>
      <c r="C365" s="124"/>
      <c r="D365" s="158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</row>
    <row r="366" spans="1:53" ht="14.25" customHeight="1" x14ac:dyDescent="0.25">
      <c r="A366" s="124"/>
      <c r="B366" s="124"/>
      <c r="C366" s="124"/>
      <c r="D366" s="158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</row>
    <row r="367" spans="1:53" ht="14.25" customHeight="1" x14ac:dyDescent="0.25">
      <c r="A367" s="124"/>
      <c r="B367" s="124"/>
      <c r="C367" s="124"/>
      <c r="D367" s="158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  <c r="AZ367" s="99"/>
      <c r="BA367" s="99"/>
    </row>
    <row r="368" spans="1:53" ht="14.25" customHeight="1" x14ac:dyDescent="0.25">
      <c r="A368" s="124"/>
      <c r="B368" s="124"/>
      <c r="C368" s="124"/>
      <c r="D368" s="158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</row>
    <row r="369" spans="1:53" ht="14.25" customHeight="1" x14ac:dyDescent="0.25">
      <c r="A369" s="124"/>
      <c r="B369" s="124"/>
      <c r="C369" s="124"/>
      <c r="D369" s="158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</row>
    <row r="370" spans="1:53" ht="14.25" customHeight="1" x14ac:dyDescent="0.25">
      <c r="A370" s="124"/>
      <c r="B370" s="124"/>
      <c r="C370" s="124"/>
      <c r="D370" s="158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</row>
    <row r="371" spans="1:53" ht="14.25" customHeight="1" x14ac:dyDescent="0.25">
      <c r="A371" s="124"/>
      <c r="B371" s="124"/>
      <c r="C371" s="124"/>
      <c r="D371" s="158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</row>
    <row r="372" spans="1:53" ht="14.25" customHeight="1" x14ac:dyDescent="0.25">
      <c r="A372" s="124"/>
      <c r="B372" s="124"/>
      <c r="C372" s="124"/>
      <c r="D372" s="158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</row>
    <row r="373" spans="1:53" ht="14.25" customHeight="1" x14ac:dyDescent="0.25">
      <c r="A373" s="124"/>
      <c r="B373" s="124"/>
      <c r="C373" s="124"/>
      <c r="D373" s="158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</row>
    <row r="374" spans="1:53" ht="14.25" customHeight="1" x14ac:dyDescent="0.25">
      <c r="A374" s="124"/>
      <c r="B374" s="124"/>
      <c r="C374" s="124"/>
      <c r="D374" s="158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</row>
    <row r="375" spans="1:53" ht="14.25" customHeight="1" x14ac:dyDescent="0.25">
      <c r="A375" s="124"/>
      <c r="B375" s="124"/>
      <c r="C375" s="124"/>
      <c r="D375" s="158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</row>
    <row r="376" spans="1:53" ht="14.25" customHeight="1" x14ac:dyDescent="0.25">
      <c r="A376" s="124"/>
      <c r="B376" s="124"/>
      <c r="C376" s="124"/>
      <c r="D376" s="158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</row>
    <row r="377" spans="1:53" ht="14.25" customHeight="1" x14ac:dyDescent="0.25">
      <c r="A377" s="124"/>
      <c r="B377" s="124"/>
      <c r="C377" s="124"/>
      <c r="D377" s="158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</row>
    <row r="378" spans="1:53" ht="14.25" customHeight="1" x14ac:dyDescent="0.25">
      <c r="A378" s="124"/>
      <c r="B378" s="124"/>
      <c r="C378" s="124"/>
      <c r="D378" s="158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</row>
    <row r="379" spans="1:53" ht="14.25" customHeight="1" x14ac:dyDescent="0.25">
      <c r="A379" s="124"/>
      <c r="B379" s="124"/>
      <c r="C379" s="124"/>
      <c r="D379" s="158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</row>
    <row r="380" spans="1:53" ht="14.25" customHeight="1" x14ac:dyDescent="0.25">
      <c r="A380" s="124"/>
      <c r="B380" s="124"/>
      <c r="C380" s="124"/>
      <c r="D380" s="158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</row>
    <row r="381" spans="1:53" ht="14.25" customHeight="1" x14ac:dyDescent="0.25">
      <c r="A381" s="124"/>
      <c r="B381" s="124"/>
      <c r="C381" s="124"/>
      <c r="D381" s="158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</row>
    <row r="382" spans="1:53" ht="14.25" customHeight="1" x14ac:dyDescent="0.25">
      <c r="A382" s="124"/>
      <c r="B382" s="124"/>
      <c r="C382" s="124"/>
      <c r="D382" s="158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</row>
    <row r="383" spans="1:53" ht="14.25" customHeight="1" x14ac:dyDescent="0.25">
      <c r="A383" s="124"/>
      <c r="B383" s="124"/>
      <c r="C383" s="124"/>
      <c r="D383" s="158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</row>
    <row r="384" spans="1:53" ht="14.25" customHeight="1" x14ac:dyDescent="0.25">
      <c r="A384" s="124"/>
      <c r="B384" s="124"/>
      <c r="C384" s="124"/>
      <c r="D384" s="158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</row>
    <row r="385" spans="1:53" ht="14.25" customHeight="1" x14ac:dyDescent="0.25">
      <c r="A385" s="124"/>
      <c r="B385" s="124"/>
      <c r="C385" s="124"/>
      <c r="D385" s="158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</row>
    <row r="386" spans="1:53" ht="14.25" customHeight="1" x14ac:dyDescent="0.25">
      <c r="A386" s="124"/>
      <c r="B386" s="124"/>
      <c r="C386" s="124"/>
      <c r="D386" s="158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</row>
    <row r="387" spans="1:53" ht="14.25" customHeight="1" x14ac:dyDescent="0.25">
      <c r="A387" s="124"/>
      <c r="B387" s="124"/>
      <c r="C387" s="124"/>
      <c r="D387" s="158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</row>
    <row r="388" spans="1:53" ht="14.25" customHeight="1" x14ac:dyDescent="0.25">
      <c r="A388" s="124"/>
      <c r="B388" s="124"/>
      <c r="C388" s="124"/>
      <c r="D388" s="158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</row>
    <row r="389" spans="1:53" ht="14.25" customHeight="1" x14ac:dyDescent="0.25">
      <c r="A389" s="124"/>
      <c r="B389" s="124"/>
      <c r="C389" s="124"/>
      <c r="D389" s="158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</row>
    <row r="390" spans="1:53" ht="14.25" customHeight="1" x14ac:dyDescent="0.25">
      <c r="A390" s="124"/>
      <c r="B390" s="124"/>
      <c r="C390" s="124"/>
      <c r="D390" s="158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</row>
    <row r="391" spans="1:53" ht="14.25" customHeight="1" x14ac:dyDescent="0.25">
      <c r="A391" s="124"/>
      <c r="B391" s="124"/>
      <c r="C391" s="124"/>
      <c r="D391" s="158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</row>
    <row r="392" spans="1:53" ht="14.25" customHeight="1" x14ac:dyDescent="0.25">
      <c r="A392" s="124"/>
      <c r="B392" s="124"/>
      <c r="C392" s="124"/>
      <c r="D392" s="158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</row>
    <row r="393" spans="1:53" ht="14.25" customHeight="1" x14ac:dyDescent="0.25">
      <c r="A393" s="124"/>
      <c r="B393" s="124"/>
      <c r="C393" s="124"/>
      <c r="D393" s="158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</row>
    <row r="394" spans="1:53" ht="14.25" customHeight="1" x14ac:dyDescent="0.25">
      <c r="A394" s="124"/>
      <c r="B394" s="124"/>
      <c r="C394" s="124"/>
      <c r="D394" s="158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</row>
    <row r="395" spans="1:53" ht="14.25" customHeight="1" x14ac:dyDescent="0.25">
      <c r="A395" s="124"/>
      <c r="B395" s="124"/>
      <c r="C395" s="124"/>
      <c r="D395" s="158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</row>
    <row r="396" spans="1:53" ht="14.25" customHeight="1" x14ac:dyDescent="0.25">
      <c r="A396" s="124"/>
      <c r="B396" s="124"/>
      <c r="C396" s="124"/>
      <c r="D396" s="158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</row>
    <row r="397" spans="1:53" ht="14.25" customHeight="1" x14ac:dyDescent="0.25">
      <c r="A397" s="124"/>
      <c r="B397" s="124"/>
      <c r="C397" s="124"/>
      <c r="D397" s="158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</row>
    <row r="398" spans="1:53" ht="14.25" customHeight="1" x14ac:dyDescent="0.25">
      <c r="A398" s="124"/>
      <c r="B398" s="124"/>
      <c r="C398" s="124"/>
      <c r="D398" s="158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</row>
    <row r="399" spans="1:53" ht="14.25" customHeight="1" x14ac:dyDescent="0.25">
      <c r="A399" s="124"/>
      <c r="B399" s="124"/>
      <c r="C399" s="124"/>
      <c r="D399" s="158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</row>
    <row r="400" spans="1:53" ht="14.25" customHeight="1" x14ac:dyDescent="0.25">
      <c r="A400" s="124"/>
      <c r="B400" s="124"/>
      <c r="C400" s="124"/>
      <c r="D400" s="158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</row>
    <row r="401" spans="1:53" ht="14.25" customHeight="1" x14ac:dyDescent="0.25">
      <c r="A401" s="124"/>
      <c r="B401" s="124"/>
      <c r="C401" s="124"/>
      <c r="D401" s="158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</row>
    <row r="402" spans="1:53" ht="14.25" customHeight="1" x14ac:dyDescent="0.25">
      <c r="A402" s="124"/>
      <c r="B402" s="124"/>
      <c r="C402" s="124"/>
      <c r="D402" s="158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</row>
    <row r="403" spans="1:53" ht="14.25" customHeight="1" x14ac:dyDescent="0.25">
      <c r="A403" s="124"/>
      <c r="B403" s="124"/>
      <c r="C403" s="124"/>
      <c r="D403" s="158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</row>
    <row r="404" spans="1:53" ht="14.25" customHeight="1" x14ac:dyDescent="0.25">
      <c r="A404" s="124"/>
      <c r="B404" s="124"/>
      <c r="C404" s="124"/>
      <c r="D404" s="158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</row>
    <row r="405" spans="1:53" ht="14.25" customHeight="1" x14ac:dyDescent="0.25">
      <c r="A405" s="124"/>
      <c r="B405" s="124"/>
      <c r="C405" s="124"/>
      <c r="D405" s="158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</row>
    <row r="406" spans="1:53" ht="14.25" customHeight="1" x14ac:dyDescent="0.25">
      <c r="A406" s="124"/>
      <c r="B406" s="124"/>
      <c r="C406" s="124"/>
      <c r="D406" s="158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</row>
    <row r="407" spans="1:53" ht="14.25" customHeight="1" x14ac:dyDescent="0.25">
      <c r="A407" s="124"/>
      <c r="B407" s="124"/>
      <c r="C407" s="124"/>
      <c r="D407" s="158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</row>
    <row r="408" spans="1:53" ht="14.25" customHeight="1" x14ac:dyDescent="0.25">
      <c r="A408" s="124"/>
      <c r="B408" s="124"/>
      <c r="C408" s="124"/>
      <c r="D408" s="158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  <c r="AZ408" s="99"/>
      <c r="BA408" s="99"/>
    </row>
    <row r="409" spans="1:53" ht="14.25" customHeight="1" x14ac:dyDescent="0.25">
      <c r="A409" s="124"/>
      <c r="B409" s="124"/>
      <c r="C409" s="124"/>
      <c r="D409" s="158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</row>
    <row r="410" spans="1:53" ht="14.25" customHeight="1" x14ac:dyDescent="0.25">
      <c r="A410" s="124"/>
      <c r="B410" s="124"/>
      <c r="C410" s="124"/>
      <c r="D410" s="158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</row>
    <row r="411" spans="1:53" ht="14.25" customHeight="1" x14ac:dyDescent="0.25">
      <c r="A411" s="124"/>
      <c r="B411" s="124"/>
      <c r="C411" s="124"/>
      <c r="D411" s="158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</row>
    <row r="412" spans="1:53" ht="14.25" customHeight="1" x14ac:dyDescent="0.25">
      <c r="A412" s="124"/>
      <c r="B412" s="124"/>
      <c r="C412" s="124"/>
      <c r="D412" s="158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</row>
    <row r="413" spans="1:53" ht="14.25" customHeight="1" x14ac:dyDescent="0.25">
      <c r="A413" s="124"/>
      <c r="B413" s="124"/>
      <c r="C413" s="124"/>
      <c r="D413" s="158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</row>
    <row r="414" spans="1:53" ht="14.25" customHeight="1" x14ac:dyDescent="0.25">
      <c r="A414" s="124"/>
      <c r="B414" s="124"/>
      <c r="C414" s="124"/>
      <c r="D414" s="158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</row>
    <row r="415" spans="1:53" ht="14.25" customHeight="1" x14ac:dyDescent="0.25">
      <c r="A415" s="124"/>
      <c r="B415" s="124"/>
      <c r="C415" s="124"/>
      <c r="D415" s="158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</row>
    <row r="416" spans="1:53" ht="14.25" customHeight="1" x14ac:dyDescent="0.25">
      <c r="A416" s="124"/>
      <c r="B416" s="124"/>
      <c r="C416" s="124"/>
      <c r="D416" s="158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</row>
    <row r="417" spans="1:53" ht="14.25" customHeight="1" x14ac:dyDescent="0.25">
      <c r="A417" s="124"/>
      <c r="B417" s="124"/>
      <c r="C417" s="124"/>
      <c r="D417" s="158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</row>
    <row r="418" spans="1:53" ht="14.25" customHeight="1" x14ac:dyDescent="0.25">
      <c r="A418" s="124"/>
      <c r="B418" s="124"/>
      <c r="C418" s="124"/>
      <c r="D418" s="158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</row>
    <row r="419" spans="1:53" ht="14.25" customHeight="1" x14ac:dyDescent="0.25">
      <c r="A419" s="124"/>
      <c r="B419" s="124"/>
      <c r="C419" s="124"/>
      <c r="D419" s="158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</row>
    <row r="420" spans="1:53" ht="14.25" customHeight="1" x14ac:dyDescent="0.25">
      <c r="A420" s="124"/>
      <c r="B420" s="124"/>
      <c r="C420" s="124"/>
      <c r="D420" s="158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</row>
    <row r="421" spans="1:53" ht="14.25" customHeight="1" x14ac:dyDescent="0.25">
      <c r="A421" s="124"/>
      <c r="B421" s="124"/>
      <c r="C421" s="124"/>
      <c r="D421" s="158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</row>
    <row r="422" spans="1:53" ht="14.25" customHeight="1" x14ac:dyDescent="0.25">
      <c r="A422" s="124"/>
      <c r="B422" s="124"/>
      <c r="C422" s="124"/>
      <c r="D422" s="158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</row>
    <row r="423" spans="1:53" ht="14.25" customHeight="1" x14ac:dyDescent="0.25">
      <c r="A423" s="124"/>
      <c r="B423" s="124"/>
      <c r="C423" s="124"/>
      <c r="D423" s="158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</row>
    <row r="424" spans="1:53" ht="14.25" customHeight="1" x14ac:dyDescent="0.25">
      <c r="A424" s="124"/>
      <c r="B424" s="124"/>
      <c r="C424" s="124"/>
      <c r="D424" s="158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</row>
    <row r="425" spans="1:53" ht="14.25" customHeight="1" x14ac:dyDescent="0.25">
      <c r="A425" s="124"/>
      <c r="B425" s="124"/>
      <c r="C425" s="124"/>
      <c r="D425" s="158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</row>
    <row r="426" spans="1:53" ht="14.25" customHeight="1" x14ac:dyDescent="0.25">
      <c r="A426" s="124"/>
      <c r="B426" s="124"/>
      <c r="C426" s="124"/>
      <c r="D426" s="158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</row>
    <row r="427" spans="1:53" ht="14.25" customHeight="1" x14ac:dyDescent="0.25">
      <c r="A427" s="124"/>
      <c r="B427" s="124"/>
      <c r="C427" s="124"/>
      <c r="D427" s="158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</row>
    <row r="428" spans="1:53" ht="14.25" customHeight="1" x14ac:dyDescent="0.25">
      <c r="A428" s="124"/>
      <c r="B428" s="124"/>
      <c r="C428" s="124"/>
      <c r="D428" s="158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</row>
    <row r="429" spans="1:53" ht="14.25" customHeight="1" x14ac:dyDescent="0.25">
      <c r="A429" s="124"/>
      <c r="B429" s="124"/>
      <c r="C429" s="124"/>
      <c r="D429" s="158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</row>
    <row r="430" spans="1:53" ht="14.25" customHeight="1" x14ac:dyDescent="0.25">
      <c r="A430" s="124"/>
      <c r="B430" s="124"/>
      <c r="C430" s="124"/>
      <c r="D430" s="158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</row>
    <row r="431" spans="1:53" ht="14.25" customHeight="1" x14ac:dyDescent="0.25">
      <c r="A431" s="124"/>
      <c r="B431" s="124"/>
      <c r="C431" s="124"/>
      <c r="D431" s="158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</row>
    <row r="432" spans="1:53" ht="14.25" customHeight="1" x14ac:dyDescent="0.25">
      <c r="A432" s="124"/>
      <c r="B432" s="124"/>
      <c r="C432" s="124"/>
      <c r="D432" s="158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</row>
    <row r="433" spans="1:53" ht="14.25" customHeight="1" x14ac:dyDescent="0.25">
      <c r="A433" s="124"/>
      <c r="B433" s="124"/>
      <c r="C433" s="124"/>
      <c r="D433" s="158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</row>
    <row r="434" spans="1:53" ht="14.25" customHeight="1" x14ac:dyDescent="0.25">
      <c r="A434" s="124"/>
      <c r="B434" s="124"/>
      <c r="C434" s="124"/>
      <c r="D434" s="158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</row>
    <row r="435" spans="1:53" ht="14.25" customHeight="1" x14ac:dyDescent="0.25">
      <c r="A435" s="124"/>
      <c r="B435" s="124"/>
      <c r="C435" s="124"/>
      <c r="D435" s="158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</row>
    <row r="436" spans="1:53" ht="14.25" customHeight="1" x14ac:dyDescent="0.25">
      <c r="A436" s="124"/>
      <c r="B436" s="124"/>
      <c r="C436" s="124"/>
      <c r="D436" s="158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</row>
    <row r="437" spans="1:53" ht="14.25" customHeight="1" x14ac:dyDescent="0.25">
      <c r="A437" s="124"/>
      <c r="B437" s="124"/>
      <c r="C437" s="124"/>
      <c r="D437" s="158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</row>
    <row r="438" spans="1:53" ht="14.25" customHeight="1" x14ac:dyDescent="0.25">
      <c r="A438" s="124"/>
      <c r="B438" s="124"/>
      <c r="C438" s="124"/>
      <c r="D438" s="158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</row>
    <row r="439" spans="1:53" ht="14.25" customHeight="1" x14ac:dyDescent="0.25">
      <c r="A439" s="124"/>
      <c r="B439" s="124"/>
      <c r="C439" s="124"/>
      <c r="D439" s="158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</row>
    <row r="440" spans="1:53" ht="14.25" customHeight="1" x14ac:dyDescent="0.25">
      <c r="A440" s="124"/>
      <c r="B440" s="124"/>
      <c r="C440" s="124"/>
      <c r="D440" s="158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</row>
    <row r="441" spans="1:53" ht="14.25" customHeight="1" x14ac:dyDescent="0.25">
      <c r="A441" s="124"/>
      <c r="B441" s="124"/>
      <c r="C441" s="124"/>
      <c r="D441" s="158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</row>
    <row r="442" spans="1:53" ht="14.25" customHeight="1" x14ac:dyDescent="0.25">
      <c r="A442" s="124"/>
      <c r="B442" s="124"/>
      <c r="C442" s="124"/>
      <c r="D442" s="158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</row>
    <row r="443" spans="1:53" ht="14.25" customHeight="1" x14ac:dyDescent="0.25">
      <c r="A443" s="124"/>
      <c r="B443" s="124"/>
      <c r="C443" s="124"/>
      <c r="D443" s="158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</row>
    <row r="444" spans="1:53" ht="14.25" customHeight="1" x14ac:dyDescent="0.25">
      <c r="A444" s="124"/>
      <c r="B444" s="124"/>
      <c r="C444" s="124"/>
      <c r="D444" s="158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</row>
    <row r="445" spans="1:53" ht="14.25" customHeight="1" x14ac:dyDescent="0.25">
      <c r="A445" s="124"/>
      <c r="B445" s="124"/>
      <c r="C445" s="124"/>
      <c r="D445" s="158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</row>
    <row r="446" spans="1:53" ht="14.25" customHeight="1" x14ac:dyDescent="0.25">
      <c r="A446" s="124"/>
      <c r="B446" s="124"/>
      <c r="C446" s="124"/>
      <c r="D446" s="158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</row>
    <row r="447" spans="1:53" ht="14.25" customHeight="1" x14ac:dyDescent="0.25">
      <c r="A447" s="124"/>
      <c r="B447" s="124"/>
      <c r="C447" s="124"/>
      <c r="D447" s="158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</row>
    <row r="448" spans="1:53" ht="14.25" customHeight="1" x14ac:dyDescent="0.25">
      <c r="A448" s="124"/>
      <c r="B448" s="124"/>
      <c r="C448" s="124"/>
      <c r="D448" s="158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</row>
    <row r="449" spans="1:53" ht="14.25" customHeight="1" x14ac:dyDescent="0.25">
      <c r="A449" s="124"/>
      <c r="B449" s="124"/>
      <c r="C449" s="124"/>
      <c r="D449" s="158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</row>
    <row r="450" spans="1:53" ht="14.25" customHeight="1" x14ac:dyDescent="0.25">
      <c r="A450" s="124"/>
      <c r="B450" s="124"/>
      <c r="C450" s="124"/>
      <c r="D450" s="158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</row>
    <row r="451" spans="1:53" ht="14.25" customHeight="1" x14ac:dyDescent="0.25">
      <c r="A451" s="124"/>
      <c r="B451" s="124"/>
      <c r="C451" s="124"/>
      <c r="D451" s="158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</row>
    <row r="452" spans="1:53" ht="14.25" customHeight="1" x14ac:dyDescent="0.25">
      <c r="A452" s="124"/>
      <c r="B452" s="124"/>
      <c r="C452" s="124"/>
      <c r="D452" s="158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</row>
    <row r="453" spans="1:53" ht="14.25" customHeight="1" x14ac:dyDescent="0.25">
      <c r="A453" s="124"/>
      <c r="B453" s="124"/>
      <c r="C453" s="124"/>
      <c r="D453" s="158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</row>
    <row r="454" spans="1:53" ht="14.25" customHeight="1" x14ac:dyDescent="0.25">
      <c r="A454" s="124"/>
      <c r="B454" s="124"/>
      <c r="C454" s="124"/>
      <c r="D454" s="158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</row>
    <row r="455" spans="1:53" ht="14.25" customHeight="1" x14ac:dyDescent="0.25">
      <c r="A455" s="124"/>
      <c r="B455" s="124"/>
      <c r="C455" s="124"/>
      <c r="D455" s="158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</row>
    <row r="456" spans="1:53" ht="14.25" customHeight="1" x14ac:dyDescent="0.25">
      <c r="A456" s="124"/>
      <c r="B456" s="124"/>
      <c r="C456" s="124"/>
      <c r="D456" s="158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</row>
    <row r="457" spans="1:53" ht="14.25" customHeight="1" x14ac:dyDescent="0.25">
      <c r="A457" s="124"/>
      <c r="B457" s="124"/>
      <c r="C457" s="124"/>
      <c r="D457" s="158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</row>
    <row r="458" spans="1:53" ht="14.25" customHeight="1" x14ac:dyDescent="0.25">
      <c r="A458" s="124"/>
      <c r="B458" s="124"/>
      <c r="C458" s="124"/>
      <c r="D458" s="158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</row>
    <row r="459" spans="1:53" ht="14.25" customHeight="1" x14ac:dyDescent="0.25">
      <c r="A459" s="124"/>
      <c r="B459" s="124"/>
      <c r="C459" s="124"/>
      <c r="D459" s="158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</row>
    <row r="460" spans="1:53" ht="14.25" customHeight="1" x14ac:dyDescent="0.25">
      <c r="A460" s="124"/>
      <c r="B460" s="124"/>
      <c r="C460" s="124"/>
      <c r="D460" s="158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</row>
    <row r="461" spans="1:53" ht="14.25" customHeight="1" x14ac:dyDescent="0.25">
      <c r="A461" s="124"/>
      <c r="B461" s="124"/>
      <c r="C461" s="124"/>
      <c r="D461" s="158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</row>
    <row r="462" spans="1:53" ht="14.25" customHeight="1" x14ac:dyDescent="0.25">
      <c r="A462" s="124"/>
      <c r="B462" s="124"/>
      <c r="C462" s="124"/>
      <c r="D462" s="158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</row>
    <row r="463" spans="1:53" ht="14.25" customHeight="1" x14ac:dyDescent="0.25">
      <c r="A463" s="124"/>
      <c r="B463" s="124"/>
      <c r="C463" s="124"/>
      <c r="D463" s="158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</row>
    <row r="464" spans="1:53" ht="14.25" customHeight="1" x14ac:dyDescent="0.25">
      <c r="A464" s="124"/>
      <c r="B464" s="124"/>
      <c r="C464" s="124"/>
      <c r="D464" s="158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</row>
    <row r="465" spans="1:53" ht="14.25" customHeight="1" x14ac:dyDescent="0.25">
      <c r="A465" s="124"/>
      <c r="B465" s="124"/>
      <c r="C465" s="124"/>
      <c r="D465" s="158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</row>
    <row r="466" spans="1:53" ht="14.25" customHeight="1" x14ac:dyDescent="0.25">
      <c r="A466" s="124"/>
      <c r="B466" s="124"/>
      <c r="C466" s="124"/>
      <c r="D466" s="158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  <c r="AZ466" s="99"/>
      <c r="BA466" s="99"/>
    </row>
    <row r="467" spans="1:53" ht="14.25" customHeight="1" x14ac:dyDescent="0.25">
      <c r="A467" s="124"/>
      <c r="B467" s="124"/>
      <c r="C467" s="124"/>
      <c r="D467" s="158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</row>
    <row r="468" spans="1:53" ht="14.25" customHeight="1" x14ac:dyDescent="0.25">
      <c r="A468" s="124"/>
      <c r="B468" s="124"/>
      <c r="C468" s="124"/>
      <c r="D468" s="158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</row>
    <row r="469" spans="1:53" ht="14.25" customHeight="1" x14ac:dyDescent="0.25">
      <c r="A469" s="124"/>
      <c r="B469" s="124"/>
      <c r="C469" s="124"/>
      <c r="D469" s="158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</row>
    <row r="470" spans="1:53" ht="14.25" customHeight="1" x14ac:dyDescent="0.25">
      <c r="A470" s="124"/>
      <c r="B470" s="124"/>
      <c r="C470" s="124"/>
      <c r="D470" s="158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</row>
    <row r="471" spans="1:53" ht="14.25" customHeight="1" x14ac:dyDescent="0.25">
      <c r="A471" s="124"/>
      <c r="B471" s="124"/>
      <c r="C471" s="124"/>
      <c r="D471" s="158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</row>
    <row r="472" spans="1:53" ht="14.25" customHeight="1" x14ac:dyDescent="0.25">
      <c r="A472" s="124"/>
      <c r="B472" s="124"/>
      <c r="C472" s="124"/>
      <c r="D472" s="158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</row>
    <row r="473" spans="1:53" ht="14.25" customHeight="1" x14ac:dyDescent="0.25">
      <c r="A473" s="124"/>
      <c r="B473" s="124"/>
      <c r="C473" s="124"/>
      <c r="D473" s="158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</row>
    <row r="474" spans="1:53" ht="14.25" customHeight="1" x14ac:dyDescent="0.25">
      <c r="A474" s="124"/>
      <c r="B474" s="124"/>
      <c r="C474" s="124"/>
      <c r="D474" s="158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</row>
    <row r="475" spans="1:53" ht="14.25" customHeight="1" x14ac:dyDescent="0.25">
      <c r="A475" s="124"/>
      <c r="B475" s="124"/>
      <c r="C475" s="124"/>
      <c r="D475" s="158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</row>
    <row r="476" spans="1:53" ht="14.25" customHeight="1" x14ac:dyDescent="0.25">
      <c r="A476" s="124"/>
      <c r="B476" s="124"/>
      <c r="C476" s="124"/>
      <c r="D476" s="158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</row>
    <row r="477" spans="1:53" ht="14.25" customHeight="1" x14ac:dyDescent="0.25">
      <c r="A477" s="124"/>
      <c r="B477" s="124"/>
      <c r="C477" s="124"/>
      <c r="D477" s="158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  <c r="AZ477" s="99"/>
      <c r="BA477" s="99"/>
    </row>
    <row r="478" spans="1:53" ht="14.25" customHeight="1" x14ac:dyDescent="0.25">
      <c r="A478" s="124"/>
      <c r="B478" s="124"/>
      <c r="C478" s="124"/>
      <c r="D478" s="158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</row>
    <row r="479" spans="1:53" ht="14.25" customHeight="1" x14ac:dyDescent="0.25">
      <c r="A479" s="124"/>
      <c r="B479" s="124"/>
      <c r="C479" s="124"/>
      <c r="D479" s="158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</row>
    <row r="480" spans="1:53" ht="14.25" customHeight="1" x14ac:dyDescent="0.25">
      <c r="A480" s="124"/>
      <c r="B480" s="124"/>
      <c r="C480" s="124"/>
      <c r="D480" s="158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</row>
    <row r="481" spans="1:53" ht="14.25" customHeight="1" x14ac:dyDescent="0.25">
      <c r="A481" s="124"/>
      <c r="B481" s="124"/>
      <c r="C481" s="124"/>
      <c r="D481" s="158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</row>
    <row r="482" spans="1:53" ht="14.25" customHeight="1" x14ac:dyDescent="0.25">
      <c r="A482" s="124"/>
      <c r="B482" s="124"/>
      <c r="C482" s="124"/>
      <c r="D482" s="158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</row>
    <row r="483" spans="1:53" ht="14.25" customHeight="1" x14ac:dyDescent="0.25">
      <c r="A483" s="124"/>
      <c r="B483" s="124"/>
      <c r="C483" s="124"/>
      <c r="D483" s="158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</row>
    <row r="484" spans="1:53" ht="14.25" customHeight="1" x14ac:dyDescent="0.25">
      <c r="A484" s="124"/>
      <c r="B484" s="124"/>
      <c r="C484" s="124"/>
      <c r="D484" s="158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</row>
    <row r="485" spans="1:53" ht="14.25" customHeight="1" x14ac:dyDescent="0.25">
      <c r="A485" s="124"/>
      <c r="B485" s="124"/>
      <c r="C485" s="124"/>
      <c r="D485" s="158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</row>
    <row r="486" spans="1:53" ht="14.25" customHeight="1" x14ac:dyDescent="0.25">
      <c r="A486" s="124"/>
      <c r="B486" s="124"/>
      <c r="C486" s="124"/>
      <c r="D486" s="158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</row>
    <row r="487" spans="1:53" ht="14.25" customHeight="1" x14ac:dyDescent="0.25">
      <c r="A487" s="124"/>
      <c r="B487" s="124"/>
      <c r="C487" s="124"/>
      <c r="D487" s="158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</row>
    <row r="488" spans="1:53" ht="14.25" customHeight="1" x14ac:dyDescent="0.25">
      <c r="A488" s="124"/>
      <c r="B488" s="124"/>
      <c r="C488" s="124"/>
      <c r="D488" s="158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</row>
    <row r="489" spans="1:53" ht="14.25" customHeight="1" x14ac:dyDescent="0.25">
      <c r="A489" s="124"/>
      <c r="B489" s="124"/>
      <c r="C489" s="124"/>
      <c r="D489" s="158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</row>
    <row r="490" spans="1:53" ht="14.25" customHeight="1" x14ac:dyDescent="0.25">
      <c r="A490" s="124"/>
      <c r="B490" s="124"/>
      <c r="C490" s="124"/>
      <c r="D490" s="158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</row>
    <row r="491" spans="1:53" ht="14.25" customHeight="1" x14ac:dyDescent="0.25">
      <c r="A491" s="124"/>
      <c r="B491" s="124"/>
      <c r="C491" s="124"/>
      <c r="D491" s="158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</row>
    <row r="492" spans="1:53" ht="14.25" customHeight="1" x14ac:dyDescent="0.25">
      <c r="A492" s="124"/>
      <c r="B492" s="124"/>
      <c r="C492" s="124"/>
      <c r="D492" s="158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</row>
    <row r="493" spans="1:53" ht="14.25" customHeight="1" x14ac:dyDescent="0.25">
      <c r="A493" s="124"/>
      <c r="B493" s="124"/>
      <c r="C493" s="124"/>
      <c r="D493" s="158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</row>
    <row r="494" spans="1:53" ht="14.25" customHeight="1" x14ac:dyDescent="0.25">
      <c r="A494" s="124"/>
      <c r="B494" s="124"/>
      <c r="C494" s="124"/>
      <c r="D494" s="158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</row>
    <row r="495" spans="1:53" ht="14.25" customHeight="1" x14ac:dyDescent="0.25">
      <c r="A495" s="124"/>
      <c r="B495" s="124"/>
      <c r="C495" s="124"/>
      <c r="D495" s="158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</row>
    <row r="496" spans="1:53" ht="14.25" customHeight="1" x14ac:dyDescent="0.25">
      <c r="A496" s="124"/>
      <c r="B496" s="124"/>
      <c r="C496" s="124"/>
      <c r="D496" s="158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</row>
    <row r="497" spans="1:53" ht="14.25" customHeight="1" x14ac:dyDescent="0.25">
      <c r="A497" s="124"/>
      <c r="B497" s="124"/>
      <c r="C497" s="124"/>
      <c r="D497" s="158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</row>
    <row r="498" spans="1:53" ht="14.25" customHeight="1" x14ac:dyDescent="0.25">
      <c r="A498" s="124"/>
      <c r="B498" s="124"/>
      <c r="C498" s="124"/>
      <c r="D498" s="158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</row>
    <row r="499" spans="1:53" ht="14.25" customHeight="1" x14ac:dyDescent="0.25">
      <c r="A499" s="124"/>
      <c r="B499" s="124"/>
      <c r="C499" s="124"/>
      <c r="D499" s="158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</row>
    <row r="500" spans="1:53" ht="14.25" customHeight="1" x14ac:dyDescent="0.25">
      <c r="A500" s="124"/>
      <c r="B500" s="124"/>
      <c r="C500" s="124"/>
      <c r="D500" s="158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</row>
    <row r="501" spans="1:53" ht="14.25" customHeight="1" x14ac:dyDescent="0.25">
      <c r="A501" s="124"/>
      <c r="B501" s="124"/>
      <c r="C501" s="124"/>
      <c r="D501" s="158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</row>
    <row r="502" spans="1:53" ht="14.25" customHeight="1" x14ac:dyDescent="0.25">
      <c r="A502" s="124"/>
      <c r="B502" s="124"/>
      <c r="C502" s="124"/>
      <c r="D502" s="158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</row>
    <row r="503" spans="1:53" ht="14.25" customHeight="1" x14ac:dyDescent="0.25">
      <c r="A503" s="124"/>
      <c r="B503" s="124"/>
      <c r="C503" s="124"/>
      <c r="D503" s="158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  <c r="AZ503" s="99"/>
      <c r="BA503" s="99"/>
    </row>
    <row r="504" spans="1:53" ht="14.25" customHeight="1" x14ac:dyDescent="0.25">
      <c r="A504" s="124"/>
      <c r="B504" s="124"/>
      <c r="C504" s="124"/>
      <c r="D504" s="158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99"/>
    </row>
    <row r="505" spans="1:53" ht="14.25" customHeight="1" x14ac:dyDescent="0.25">
      <c r="A505" s="124"/>
      <c r="B505" s="124"/>
      <c r="C505" s="124"/>
      <c r="D505" s="158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99"/>
    </row>
    <row r="506" spans="1:53" ht="14.25" customHeight="1" x14ac:dyDescent="0.25">
      <c r="A506" s="124"/>
      <c r="B506" s="124"/>
      <c r="C506" s="124"/>
      <c r="D506" s="158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  <c r="AZ506" s="99"/>
      <c r="BA506" s="99"/>
    </row>
    <row r="507" spans="1:53" ht="14.25" customHeight="1" x14ac:dyDescent="0.25">
      <c r="A507" s="124"/>
      <c r="B507" s="124"/>
      <c r="C507" s="124"/>
      <c r="D507" s="158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  <c r="AZ507" s="99"/>
      <c r="BA507" s="99"/>
    </row>
    <row r="508" spans="1:53" ht="14.25" customHeight="1" x14ac:dyDescent="0.25">
      <c r="A508" s="124"/>
      <c r="B508" s="124"/>
      <c r="C508" s="124"/>
      <c r="D508" s="158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99"/>
    </row>
    <row r="509" spans="1:53" ht="14.25" customHeight="1" x14ac:dyDescent="0.25">
      <c r="A509" s="124"/>
      <c r="B509" s="124"/>
      <c r="C509" s="124"/>
      <c r="D509" s="158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  <c r="AZ509" s="99"/>
      <c r="BA509" s="99"/>
    </row>
    <row r="510" spans="1:53" ht="14.25" customHeight="1" x14ac:dyDescent="0.25">
      <c r="A510" s="124"/>
      <c r="B510" s="124"/>
      <c r="C510" s="124"/>
      <c r="D510" s="158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  <c r="AZ510" s="99"/>
      <c r="BA510" s="99"/>
    </row>
    <row r="511" spans="1:53" ht="14.25" customHeight="1" x14ac:dyDescent="0.25">
      <c r="A511" s="124"/>
      <c r="B511" s="124"/>
      <c r="C511" s="124"/>
      <c r="D511" s="158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  <c r="AZ511" s="99"/>
      <c r="BA511" s="99"/>
    </row>
    <row r="512" spans="1:53" ht="14.25" customHeight="1" x14ac:dyDescent="0.25">
      <c r="A512" s="124"/>
      <c r="B512" s="124"/>
      <c r="C512" s="124"/>
      <c r="D512" s="158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  <c r="AZ512" s="99"/>
      <c r="BA512" s="99"/>
    </row>
    <row r="513" spans="1:53" ht="14.25" customHeight="1" x14ac:dyDescent="0.25">
      <c r="A513" s="124"/>
      <c r="B513" s="124"/>
      <c r="C513" s="124"/>
      <c r="D513" s="158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  <c r="AZ513" s="99"/>
      <c r="BA513" s="99"/>
    </row>
    <row r="514" spans="1:53" ht="14.25" customHeight="1" x14ac:dyDescent="0.25">
      <c r="A514" s="124"/>
      <c r="B514" s="124"/>
      <c r="C514" s="124"/>
      <c r="D514" s="158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  <c r="AZ514" s="99"/>
      <c r="BA514" s="99"/>
    </row>
    <row r="515" spans="1:53" ht="14.25" customHeight="1" x14ac:dyDescent="0.25">
      <c r="A515" s="124"/>
      <c r="B515" s="124"/>
      <c r="C515" s="124"/>
      <c r="D515" s="158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  <c r="AZ515" s="99"/>
      <c r="BA515" s="99"/>
    </row>
    <row r="516" spans="1:53" ht="14.25" customHeight="1" x14ac:dyDescent="0.25">
      <c r="A516" s="124"/>
      <c r="B516" s="124"/>
      <c r="C516" s="124"/>
      <c r="D516" s="158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  <c r="AN516" s="99"/>
      <c r="AO516" s="99"/>
      <c r="AP516" s="99"/>
      <c r="AQ516" s="99"/>
      <c r="AR516" s="99"/>
      <c r="AS516" s="99"/>
      <c r="AT516" s="99"/>
      <c r="AU516" s="99"/>
      <c r="AV516" s="99"/>
      <c r="AW516" s="99"/>
      <c r="AX516" s="99"/>
      <c r="AY516" s="99"/>
      <c r="AZ516" s="99"/>
      <c r="BA516" s="99"/>
    </row>
    <row r="517" spans="1:53" ht="14.25" customHeight="1" x14ac:dyDescent="0.25">
      <c r="A517" s="124"/>
      <c r="B517" s="124"/>
      <c r="C517" s="124"/>
      <c r="D517" s="158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  <c r="AU517" s="99"/>
      <c r="AV517" s="99"/>
      <c r="AW517" s="99"/>
      <c r="AX517" s="99"/>
      <c r="AY517" s="99"/>
      <c r="AZ517" s="99"/>
      <c r="BA517" s="99"/>
    </row>
    <row r="518" spans="1:53" ht="14.25" customHeight="1" x14ac:dyDescent="0.25">
      <c r="A518" s="124"/>
      <c r="B518" s="124"/>
      <c r="C518" s="124"/>
      <c r="D518" s="158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  <c r="AZ518" s="99"/>
      <c r="BA518" s="99"/>
    </row>
    <row r="519" spans="1:53" ht="14.25" customHeight="1" x14ac:dyDescent="0.25">
      <c r="A519" s="124"/>
      <c r="B519" s="124"/>
      <c r="C519" s="124"/>
      <c r="D519" s="158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  <c r="AZ519" s="99"/>
      <c r="BA519" s="99"/>
    </row>
    <row r="520" spans="1:53" ht="14.25" customHeight="1" x14ac:dyDescent="0.25">
      <c r="A520" s="124"/>
      <c r="B520" s="124"/>
      <c r="C520" s="124"/>
      <c r="D520" s="158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  <c r="AZ520" s="99"/>
      <c r="BA520" s="99"/>
    </row>
    <row r="521" spans="1:53" ht="14.25" customHeight="1" x14ac:dyDescent="0.25">
      <c r="A521" s="124"/>
      <c r="B521" s="124"/>
      <c r="C521" s="124"/>
      <c r="D521" s="158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  <c r="AZ521" s="99"/>
      <c r="BA521" s="99"/>
    </row>
    <row r="522" spans="1:53" ht="14.25" customHeight="1" x14ac:dyDescent="0.25">
      <c r="A522" s="124"/>
      <c r="B522" s="124"/>
      <c r="C522" s="124"/>
      <c r="D522" s="158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99"/>
    </row>
    <row r="523" spans="1:53" ht="14.25" customHeight="1" x14ac:dyDescent="0.25">
      <c r="A523" s="124"/>
      <c r="B523" s="124"/>
      <c r="C523" s="124"/>
      <c r="D523" s="158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  <c r="AZ523" s="99"/>
      <c r="BA523" s="99"/>
    </row>
    <row r="524" spans="1:53" ht="14.25" customHeight="1" x14ac:dyDescent="0.25">
      <c r="A524" s="124"/>
      <c r="B524" s="124"/>
      <c r="C524" s="124"/>
      <c r="D524" s="158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  <c r="AZ524" s="99"/>
      <c r="BA524" s="99"/>
    </row>
    <row r="525" spans="1:53" ht="14.25" customHeight="1" x14ac:dyDescent="0.25">
      <c r="A525" s="124"/>
      <c r="B525" s="124"/>
      <c r="C525" s="124"/>
      <c r="D525" s="158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  <c r="AZ525" s="99"/>
      <c r="BA525" s="99"/>
    </row>
    <row r="526" spans="1:53" ht="14.25" customHeight="1" x14ac:dyDescent="0.25">
      <c r="A526" s="124"/>
      <c r="B526" s="124"/>
      <c r="C526" s="124"/>
      <c r="D526" s="158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  <c r="AZ526" s="99"/>
      <c r="BA526" s="99"/>
    </row>
    <row r="527" spans="1:53" ht="14.25" customHeight="1" x14ac:dyDescent="0.25">
      <c r="A527" s="124"/>
      <c r="B527" s="124"/>
      <c r="C527" s="124"/>
      <c r="D527" s="158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  <c r="AZ527" s="99"/>
      <c r="BA527" s="99"/>
    </row>
    <row r="528" spans="1:53" ht="14.25" customHeight="1" x14ac:dyDescent="0.25">
      <c r="A528" s="124"/>
      <c r="B528" s="124"/>
      <c r="C528" s="124"/>
      <c r="D528" s="158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  <c r="AZ528" s="99"/>
      <c r="BA528" s="99"/>
    </row>
    <row r="529" spans="1:53" ht="14.25" customHeight="1" x14ac:dyDescent="0.25">
      <c r="A529" s="124"/>
      <c r="B529" s="124"/>
      <c r="C529" s="124"/>
      <c r="D529" s="158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  <c r="AZ529" s="99"/>
      <c r="BA529" s="99"/>
    </row>
    <row r="530" spans="1:53" ht="14.25" customHeight="1" x14ac:dyDescent="0.25">
      <c r="A530" s="124"/>
      <c r="B530" s="124"/>
      <c r="C530" s="124"/>
      <c r="D530" s="158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  <c r="AZ530" s="99"/>
      <c r="BA530" s="99"/>
    </row>
    <row r="531" spans="1:53" ht="14.25" customHeight="1" x14ac:dyDescent="0.25">
      <c r="A531" s="124"/>
      <c r="B531" s="124"/>
      <c r="C531" s="124"/>
      <c r="D531" s="158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  <c r="AZ531" s="99"/>
      <c r="BA531" s="99"/>
    </row>
    <row r="532" spans="1:53" ht="14.25" customHeight="1" x14ac:dyDescent="0.25">
      <c r="A532" s="124"/>
      <c r="B532" s="124"/>
      <c r="C532" s="124"/>
      <c r="D532" s="158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  <c r="AZ532" s="99"/>
      <c r="BA532" s="99"/>
    </row>
    <row r="533" spans="1:53" ht="14.25" customHeight="1" x14ac:dyDescent="0.25">
      <c r="A533" s="124"/>
      <c r="B533" s="124"/>
      <c r="C533" s="124"/>
      <c r="D533" s="158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  <c r="AZ533" s="99"/>
      <c r="BA533" s="99"/>
    </row>
    <row r="534" spans="1:53" ht="14.25" customHeight="1" x14ac:dyDescent="0.25">
      <c r="A534" s="124"/>
      <c r="B534" s="124"/>
      <c r="C534" s="124"/>
      <c r="D534" s="158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  <c r="AZ534" s="99"/>
      <c r="BA534" s="99"/>
    </row>
    <row r="535" spans="1:53" ht="14.25" customHeight="1" x14ac:dyDescent="0.25">
      <c r="A535" s="124"/>
      <c r="B535" s="124"/>
      <c r="C535" s="124"/>
      <c r="D535" s="158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  <c r="AZ535" s="99"/>
      <c r="BA535" s="99"/>
    </row>
    <row r="536" spans="1:53" ht="14.25" customHeight="1" x14ac:dyDescent="0.25">
      <c r="A536" s="124"/>
      <c r="B536" s="124"/>
      <c r="C536" s="124"/>
      <c r="D536" s="158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99"/>
    </row>
    <row r="537" spans="1:53" ht="14.25" customHeight="1" x14ac:dyDescent="0.25">
      <c r="A537" s="124"/>
      <c r="B537" s="124"/>
      <c r="C537" s="124"/>
      <c r="D537" s="158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  <c r="AZ537" s="99"/>
      <c r="BA537" s="99"/>
    </row>
    <row r="538" spans="1:53" ht="14.25" customHeight="1" x14ac:dyDescent="0.25">
      <c r="A538" s="124"/>
      <c r="B538" s="124"/>
      <c r="C538" s="124"/>
      <c r="D538" s="158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  <c r="AZ538" s="99"/>
      <c r="BA538" s="99"/>
    </row>
    <row r="539" spans="1:53" ht="14.25" customHeight="1" x14ac:dyDescent="0.25">
      <c r="A539" s="124"/>
      <c r="B539" s="124"/>
      <c r="C539" s="124"/>
      <c r="D539" s="158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  <c r="AZ539" s="99"/>
      <c r="BA539" s="99"/>
    </row>
    <row r="540" spans="1:53" ht="14.25" customHeight="1" x14ac:dyDescent="0.25">
      <c r="A540" s="124"/>
      <c r="B540" s="124"/>
      <c r="C540" s="124"/>
      <c r="D540" s="158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  <c r="AZ540" s="99"/>
      <c r="BA540" s="99"/>
    </row>
    <row r="541" spans="1:53" ht="14.25" customHeight="1" x14ac:dyDescent="0.25">
      <c r="A541" s="124"/>
      <c r="B541" s="124"/>
      <c r="C541" s="124"/>
      <c r="D541" s="158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  <c r="AZ541" s="99"/>
      <c r="BA541" s="99"/>
    </row>
    <row r="542" spans="1:53" ht="14.25" customHeight="1" x14ac:dyDescent="0.25">
      <c r="A542" s="124"/>
      <c r="B542" s="124"/>
      <c r="C542" s="124"/>
      <c r="D542" s="158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  <c r="AZ542" s="99"/>
      <c r="BA542" s="99"/>
    </row>
    <row r="543" spans="1:53" ht="14.25" customHeight="1" x14ac:dyDescent="0.25">
      <c r="A543" s="124"/>
      <c r="B543" s="124"/>
      <c r="C543" s="124"/>
      <c r="D543" s="158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  <c r="AZ543" s="99"/>
      <c r="BA543" s="99"/>
    </row>
    <row r="544" spans="1:53" ht="14.25" customHeight="1" x14ac:dyDescent="0.25">
      <c r="A544" s="124"/>
      <c r="B544" s="124"/>
      <c r="C544" s="124"/>
      <c r="D544" s="158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  <c r="AZ544" s="99"/>
      <c r="BA544" s="99"/>
    </row>
    <row r="545" spans="1:53" ht="14.25" customHeight="1" x14ac:dyDescent="0.25">
      <c r="A545" s="124"/>
      <c r="B545" s="124"/>
      <c r="C545" s="124"/>
      <c r="D545" s="158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99"/>
    </row>
    <row r="546" spans="1:53" ht="14.25" customHeight="1" x14ac:dyDescent="0.25">
      <c r="A546" s="124"/>
      <c r="B546" s="124"/>
      <c r="C546" s="124"/>
      <c r="D546" s="158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</row>
    <row r="547" spans="1:53" ht="14.25" customHeight="1" x14ac:dyDescent="0.25">
      <c r="A547" s="124"/>
      <c r="B547" s="124"/>
      <c r="C547" s="124"/>
      <c r="D547" s="158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99"/>
    </row>
    <row r="548" spans="1:53" ht="14.25" customHeight="1" x14ac:dyDescent="0.25">
      <c r="A548" s="124"/>
      <c r="B548" s="124"/>
      <c r="C548" s="124"/>
      <c r="D548" s="158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</row>
    <row r="549" spans="1:53" ht="14.25" customHeight="1" x14ac:dyDescent="0.25">
      <c r="A549" s="124"/>
      <c r="B549" s="124"/>
      <c r="C549" s="124"/>
      <c r="D549" s="158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</row>
    <row r="550" spans="1:53" ht="14.25" customHeight="1" x14ac:dyDescent="0.25">
      <c r="A550" s="124"/>
      <c r="B550" s="124"/>
      <c r="C550" s="124"/>
      <c r="D550" s="158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</row>
    <row r="551" spans="1:53" ht="14.25" customHeight="1" x14ac:dyDescent="0.25">
      <c r="A551" s="124"/>
      <c r="B551" s="124"/>
      <c r="C551" s="124"/>
      <c r="D551" s="158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</row>
    <row r="552" spans="1:53" ht="14.25" customHeight="1" x14ac:dyDescent="0.25">
      <c r="A552" s="124"/>
      <c r="B552" s="124"/>
      <c r="C552" s="124"/>
      <c r="D552" s="158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</row>
    <row r="553" spans="1:53" ht="14.25" customHeight="1" x14ac:dyDescent="0.25">
      <c r="A553" s="124"/>
      <c r="B553" s="124"/>
      <c r="C553" s="124"/>
      <c r="D553" s="158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</row>
    <row r="554" spans="1:53" ht="14.25" customHeight="1" x14ac:dyDescent="0.25">
      <c r="A554" s="124"/>
      <c r="B554" s="124"/>
      <c r="C554" s="124"/>
      <c r="D554" s="158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</row>
    <row r="555" spans="1:53" ht="14.25" customHeight="1" x14ac:dyDescent="0.25">
      <c r="A555" s="124"/>
      <c r="B555" s="124"/>
      <c r="C555" s="124"/>
      <c r="D555" s="158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</row>
    <row r="556" spans="1:53" ht="14.25" customHeight="1" x14ac:dyDescent="0.25">
      <c r="A556" s="124"/>
      <c r="B556" s="124"/>
      <c r="C556" s="124"/>
      <c r="D556" s="158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99"/>
    </row>
    <row r="557" spans="1:53" ht="14.25" customHeight="1" x14ac:dyDescent="0.25">
      <c r="A557" s="124"/>
      <c r="B557" s="124"/>
      <c r="C557" s="124"/>
      <c r="D557" s="158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/>
      <c r="AL557" s="99"/>
      <c r="AM557" s="99"/>
      <c r="AN557" s="99"/>
      <c r="AO557" s="99"/>
      <c r="AP557" s="99"/>
      <c r="AQ557" s="99"/>
      <c r="AR557" s="99"/>
      <c r="AS557" s="99"/>
      <c r="AT557" s="99"/>
      <c r="AU557" s="99"/>
      <c r="AV557" s="99"/>
      <c r="AW557" s="99"/>
      <c r="AX557" s="99"/>
      <c r="AY557" s="99"/>
      <c r="AZ557" s="99"/>
      <c r="BA557" s="99"/>
    </row>
    <row r="558" spans="1:53" ht="14.25" customHeight="1" x14ac:dyDescent="0.25">
      <c r="A558" s="124"/>
      <c r="B558" s="124"/>
      <c r="C558" s="124"/>
      <c r="D558" s="158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99"/>
      <c r="AQ558" s="99"/>
      <c r="AR558" s="99"/>
      <c r="AS558" s="99"/>
      <c r="AT558" s="99"/>
      <c r="AU558" s="99"/>
      <c r="AV558" s="99"/>
      <c r="AW558" s="99"/>
      <c r="AX558" s="99"/>
      <c r="AY558" s="99"/>
      <c r="AZ558" s="99"/>
      <c r="BA558" s="99"/>
    </row>
    <row r="559" spans="1:53" ht="14.25" customHeight="1" x14ac:dyDescent="0.25">
      <c r="A559" s="124"/>
      <c r="B559" s="124"/>
      <c r="C559" s="124"/>
      <c r="D559" s="158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99"/>
      <c r="AK559" s="99"/>
      <c r="AL559" s="99"/>
      <c r="AM559" s="99"/>
      <c r="AN559" s="99"/>
      <c r="AO559" s="99"/>
      <c r="AP559" s="99"/>
      <c r="AQ559" s="99"/>
      <c r="AR559" s="99"/>
      <c r="AS559" s="99"/>
      <c r="AT559" s="99"/>
      <c r="AU559" s="99"/>
      <c r="AV559" s="99"/>
      <c r="AW559" s="99"/>
      <c r="AX559" s="99"/>
      <c r="AY559" s="99"/>
      <c r="AZ559" s="99"/>
      <c r="BA559" s="99"/>
    </row>
    <row r="560" spans="1:53" ht="14.25" customHeight="1" x14ac:dyDescent="0.25">
      <c r="A560" s="124"/>
      <c r="B560" s="124"/>
      <c r="C560" s="124"/>
      <c r="D560" s="158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99"/>
      <c r="AK560" s="99"/>
      <c r="AL560" s="99"/>
      <c r="AM560" s="99"/>
      <c r="AN560" s="99"/>
      <c r="AO560" s="99"/>
      <c r="AP560" s="99"/>
      <c r="AQ560" s="99"/>
      <c r="AR560" s="99"/>
      <c r="AS560" s="99"/>
      <c r="AT560" s="99"/>
      <c r="AU560" s="99"/>
      <c r="AV560" s="99"/>
      <c r="AW560" s="99"/>
      <c r="AX560" s="99"/>
      <c r="AY560" s="99"/>
      <c r="AZ560" s="99"/>
      <c r="BA560" s="99"/>
    </row>
    <row r="561" spans="1:53" ht="14.25" customHeight="1" x14ac:dyDescent="0.25">
      <c r="A561" s="124"/>
      <c r="B561" s="124"/>
      <c r="C561" s="124"/>
      <c r="D561" s="158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  <c r="AZ561" s="99"/>
      <c r="BA561" s="99"/>
    </row>
    <row r="562" spans="1:53" ht="14.25" customHeight="1" x14ac:dyDescent="0.25">
      <c r="A562" s="124"/>
      <c r="B562" s="124"/>
      <c r="C562" s="124"/>
      <c r="D562" s="158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</row>
    <row r="563" spans="1:53" ht="14.25" customHeight="1" x14ac:dyDescent="0.25">
      <c r="A563" s="124"/>
      <c r="B563" s="124"/>
      <c r="C563" s="124"/>
      <c r="D563" s="158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</row>
    <row r="564" spans="1:53" ht="14.25" customHeight="1" x14ac:dyDescent="0.25">
      <c r="A564" s="124"/>
      <c r="B564" s="124"/>
      <c r="C564" s="124"/>
      <c r="D564" s="158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</row>
    <row r="565" spans="1:53" ht="14.25" customHeight="1" x14ac:dyDescent="0.25">
      <c r="A565" s="124"/>
      <c r="B565" s="124"/>
      <c r="C565" s="124"/>
      <c r="D565" s="158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  <c r="AP565" s="99"/>
      <c r="AQ565" s="99"/>
      <c r="AR565" s="99"/>
      <c r="AS565" s="99"/>
      <c r="AT565" s="99"/>
      <c r="AU565" s="99"/>
      <c r="AV565" s="99"/>
      <c r="AW565" s="99"/>
      <c r="AX565" s="99"/>
      <c r="AY565" s="99"/>
      <c r="AZ565" s="99"/>
      <c r="BA565" s="99"/>
    </row>
    <row r="566" spans="1:53" ht="14.25" customHeight="1" x14ac:dyDescent="0.25">
      <c r="A566" s="124"/>
      <c r="B566" s="124"/>
      <c r="C566" s="124"/>
      <c r="D566" s="158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99"/>
      <c r="AT566" s="99"/>
      <c r="AU566" s="99"/>
      <c r="AV566" s="99"/>
      <c r="AW566" s="99"/>
      <c r="AX566" s="99"/>
      <c r="AY566" s="99"/>
      <c r="AZ566" s="99"/>
      <c r="BA566" s="99"/>
    </row>
    <row r="567" spans="1:53" ht="14.25" customHeight="1" x14ac:dyDescent="0.25">
      <c r="A567" s="124"/>
      <c r="B567" s="124"/>
      <c r="C567" s="124"/>
      <c r="D567" s="158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  <c r="AZ567" s="99"/>
      <c r="BA567" s="99"/>
    </row>
    <row r="568" spans="1:53" ht="14.25" customHeight="1" x14ac:dyDescent="0.25">
      <c r="A568" s="124"/>
      <c r="B568" s="124"/>
      <c r="C568" s="124"/>
      <c r="D568" s="158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99"/>
      <c r="AT568" s="99"/>
      <c r="AU568" s="99"/>
      <c r="AV568" s="99"/>
      <c r="AW568" s="99"/>
      <c r="AX568" s="99"/>
      <c r="AY568" s="99"/>
      <c r="AZ568" s="99"/>
      <c r="BA568" s="99"/>
    </row>
    <row r="569" spans="1:53" ht="14.25" customHeight="1" x14ac:dyDescent="0.25">
      <c r="A569" s="124"/>
      <c r="B569" s="124"/>
      <c r="C569" s="124"/>
      <c r="D569" s="158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99"/>
      <c r="AT569" s="99"/>
      <c r="AU569" s="99"/>
      <c r="AV569" s="99"/>
      <c r="AW569" s="99"/>
      <c r="AX569" s="99"/>
      <c r="AY569" s="99"/>
      <c r="AZ569" s="99"/>
      <c r="BA569" s="99"/>
    </row>
    <row r="570" spans="1:53" ht="14.25" customHeight="1" x14ac:dyDescent="0.25">
      <c r="A570" s="124"/>
      <c r="B570" s="124"/>
      <c r="C570" s="124"/>
      <c r="D570" s="158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99"/>
      <c r="AT570" s="99"/>
      <c r="AU570" s="99"/>
      <c r="AV570" s="99"/>
      <c r="AW570" s="99"/>
      <c r="AX570" s="99"/>
      <c r="AY570" s="99"/>
      <c r="AZ570" s="99"/>
      <c r="BA570" s="99"/>
    </row>
    <row r="571" spans="1:53" ht="14.25" customHeight="1" x14ac:dyDescent="0.25">
      <c r="A571" s="124"/>
      <c r="B571" s="124"/>
      <c r="C571" s="124"/>
      <c r="D571" s="158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  <c r="AG571" s="99"/>
      <c r="AH571" s="99"/>
      <c r="AI571" s="99"/>
      <c r="AJ571" s="99"/>
      <c r="AK571" s="99"/>
      <c r="AL571" s="99"/>
      <c r="AM571" s="99"/>
      <c r="AN571" s="99"/>
      <c r="AO571" s="99"/>
      <c r="AP571" s="99"/>
      <c r="AQ571" s="99"/>
      <c r="AR571" s="99"/>
      <c r="AS571" s="99"/>
      <c r="AT571" s="99"/>
      <c r="AU571" s="99"/>
      <c r="AV571" s="99"/>
      <c r="AW571" s="99"/>
      <c r="AX571" s="99"/>
      <c r="AY571" s="99"/>
      <c r="AZ571" s="99"/>
      <c r="BA571" s="99"/>
    </row>
    <row r="572" spans="1:53" ht="14.25" customHeight="1" x14ac:dyDescent="0.25">
      <c r="A572" s="124"/>
      <c r="B572" s="124"/>
      <c r="C572" s="124"/>
      <c r="D572" s="158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  <c r="AG572" s="99"/>
      <c r="AH572" s="99"/>
      <c r="AI572" s="99"/>
      <c r="AJ572" s="99"/>
      <c r="AK572" s="99"/>
      <c r="AL572" s="99"/>
      <c r="AM572" s="99"/>
      <c r="AN572" s="99"/>
      <c r="AO572" s="99"/>
      <c r="AP572" s="99"/>
      <c r="AQ572" s="99"/>
      <c r="AR572" s="99"/>
      <c r="AS572" s="99"/>
      <c r="AT572" s="99"/>
      <c r="AU572" s="99"/>
      <c r="AV572" s="99"/>
      <c r="AW572" s="99"/>
      <c r="AX572" s="99"/>
      <c r="AY572" s="99"/>
      <c r="AZ572" s="99"/>
      <c r="BA572" s="99"/>
    </row>
    <row r="573" spans="1:53" ht="14.25" customHeight="1" x14ac:dyDescent="0.25">
      <c r="A573" s="124"/>
      <c r="B573" s="124"/>
      <c r="C573" s="124"/>
      <c r="D573" s="158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  <c r="AR573" s="99"/>
      <c r="AS573" s="99"/>
      <c r="AT573" s="99"/>
      <c r="AU573" s="99"/>
      <c r="AV573" s="99"/>
      <c r="AW573" s="99"/>
      <c r="AX573" s="99"/>
      <c r="AY573" s="99"/>
      <c r="AZ573" s="99"/>
      <c r="BA573" s="99"/>
    </row>
    <row r="574" spans="1:53" ht="14.25" customHeight="1" x14ac:dyDescent="0.25">
      <c r="A574" s="124"/>
      <c r="B574" s="124"/>
      <c r="C574" s="124"/>
      <c r="D574" s="158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</row>
    <row r="575" spans="1:53" ht="14.25" customHeight="1" x14ac:dyDescent="0.25">
      <c r="A575" s="124"/>
      <c r="B575" s="124"/>
      <c r="C575" s="124"/>
      <c r="D575" s="158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/>
      <c r="AL575" s="99"/>
      <c r="AM575" s="99"/>
      <c r="AN575" s="99"/>
      <c r="AO575" s="99"/>
      <c r="AP575" s="99"/>
      <c r="AQ575" s="99"/>
      <c r="AR575" s="99"/>
      <c r="AS575" s="99"/>
      <c r="AT575" s="99"/>
      <c r="AU575" s="99"/>
      <c r="AV575" s="99"/>
      <c r="AW575" s="99"/>
      <c r="AX575" s="99"/>
      <c r="AY575" s="99"/>
      <c r="AZ575" s="99"/>
      <c r="BA575" s="99"/>
    </row>
    <row r="576" spans="1:53" ht="14.25" customHeight="1" x14ac:dyDescent="0.25">
      <c r="A576" s="124"/>
      <c r="B576" s="124"/>
      <c r="C576" s="124"/>
      <c r="D576" s="158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  <c r="AP576" s="99"/>
      <c r="AQ576" s="99"/>
      <c r="AR576" s="99"/>
      <c r="AS576" s="99"/>
      <c r="AT576" s="99"/>
      <c r="AU576" s="99"/>
      <c r="AV576" s="99"/>
      <c r="AW576" s="99"/>
      <c r="AX576" s="99"/>
      <c r="AY576" s="99"/>
      <c r="AZ576" s="99"/>
      <c r="BA576" s="99"/>
    </row>
    <row r="577" spans="1:53" ht="14.25" customHeight="1" x14ac:dyDescent="0.25">
      <c r="A577" s="124"/>
      <c r="B577" s="124"/>
      <c r="C577" s="124"/>
      <c r="D577" s="158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/>
      <c r="AL577" s="99"/>
      <c r="AM577" s="99"/>
      <c r="AN577" s="99"/>
      <c r="AO577" s="99"/>
      <c r="AP577" s="99"/>
      <c r="AQ577" s="99"/>
      <c r="AR577" s="99"/>
      <c r="AS577" s="99"/>
      <c r="AT577" s="99"/>
      <c r="AU577" s="99"/>
      <c r="AV577" s="99"/>
      <c r="AW577" s="99"/>
      <c r="AX577" s="99"/>
      <c r="AY577" s="99"/>
      <c r="AZ577" s="99"/>
      <c r="BA577" s="99"/>
    </row>
    <row r="578" spans="1:53" ht="14.25" customHeight="1" x14ac:dyDescent="0.25">
      <c r="A578" s="124"/>
      <c r="B578" s="124"/>
      <c r="C578" s="124"/>
      <c r="D578" s="158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99"/>
    </row>
    <row r="579" spans="1:53" ht="14.25" customHeight="1" x14ac:dyDescent="0.25">
      <c r="A579" s="124"/>
      <c r="B579" s="124"/>
      <c r="C579" s="124"/>
      <c r="D579" s="158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  <c r="AP579" s="99"/>
      <c r="AQ579" s="99"/>
      <c r="AR579" s="99"/>
      <c r="AS579" s="99"/>
      <c r="AT579" s="99"/>
      <c r="AU579" s="99"/>
      <c r="AV579" s="99"/>
      <c r="AW579" s="99"/>
      <c r="AX579" s="99"/>
      <c r="AY579" s="99"/>
      <c r="AZ579" s="99"/>
      <c r="BA579" s="99"/>
    </row>
    <row r="580" spans="1:53" ht="14.25" customHeight="1" x14ac:dyDescent="0.25">
      <c r="A580" s="124"/>
      <c r="B580" s="124"/>
      <c r="C580" s="124"/>
      <c r="D580" s="158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  <c r="AZ580" s="99"/>
      <c r="BA580" s="99"/>
    </row>
    <row r="581" spans="1:53" ht="14.25" customHeight="1" x14ac:dyDescent="0.25">
      <c r="A581" s="124"/>
      <c r="B581" s="124"/>
      <c r="C581" s="124"/>
      <c r="D581" s="158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99"/>
      <c r="AT581" s="99"/>
      <c r="AU581" s="99"/>
      <c r="AV581" s="99"/>
      <c r="AW581" s="99"/>
      <c r="AX581" s="99"/>
      <c r="AY581" s="99"/>
      <c r="AZ581" s="99"/>
      <c r="BA581" s="99"/>
    </row>
    <row r="582" spans="1:53" ht="14.25" customHeight="1" x14ac:dyDescent="0.25">
      <c r="A582" s="124"/>
      <c r="B582" s="124"/>
      <c r="C582" s="124"/>
      <c r="D582" s="158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99"/>
      <c r="AT582" s="99"/>
      <c r="AU582" s="99"/>
      <c r="AV582" s="99"/>
      <c r="AW582" s="99"/>
      <c r="AX582" s="99"/>
      <c r="AY582" s="99"/>
      <c r="AZ582" s="99"/>
      <c r="BA582" s="99"/>
    </row>
    <row r="583" spans="1:53" ht="14.25" customHeight="1" x14ac:dyDescent="0.25">
      <c r="A583" s="124"/>
      <c r="B583" s="124"/>
      <c r="C583" s="124"/>
      <c r="D583" s="158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</row>
    <row r="584" spans="1:53" ht="14.25" customHeight="1" x14ac:dyDescent="0.25">
      <c r="A584" s="124"/>
      <c r="B584" s="124"/>
      <c r="C584" s="124"/>
      <c r="D584" s="158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  <c r="AZ584" s="99"/>
      <c r="BA584" s="99"/>
    </row>
    <row r="585" spans="1:53" ht="14.25" customHeight="1" x14ac:dyDescent="0.25">
      <c r="A585" s="124"/>
      <c r="B585" s="124"/>
      <c r="C585" s="124"/>
      <c r="D585" s="158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  <c r="AZ585" s="99"/>
      <c r="BA585" s="99"/>
    </row>
    <row r="586" spans="1:53" ht="14.25" customHeight="1" x14ac:dyDescent="0.25">
      <c r="A586" s="124"/>
      <c r="B586" s="124"/>
      <c r="C586" s="124"/>
      <c r="D586" s="158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  <c r="AZ586" s="99"/>
      <c r="BA586" s="99"/>
    </row>
    <row r="587" spans="1:53" ht="14.25" customHeight="1" x14ac:dyDescent="0.25">
      <c r="A587" s="124"/>
      <c r="B587" s="124"/>
      <c r="C587" s="124"/>
      <c r="D587" s="158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  <c r="AZ587" s="99"/>
      <c r="BA587" s="99"/>
    </row>
    <row r="588" spans="1:53" ht="14.25" customHeight="1" x14ac:dyDescent="0.25">
      <c r="A588" s="124"/>
      <c r="B588" s="124"/>
      <c r="C588" s="124"/>
      <c r="D588" s="158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  <c r="AZ588" s="99"/>
      <c r="BA588" s="99"/>
    </row>
    <row r="589" spans="1:53" ht="14.25" customHeight="1" x14ac:dyDescent="0.25">
      <c r="A589" s="124"/>
      <c r="B589" s="124"/>
      <c r="C589" s="124"/>
      <c r="D589" s="158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99"/>
    </row>
    <row r="590" spans="1:53" ht="14.25" customHeight="1" x14ac:dyDescent="0.25">
      <c r="A590" s="124"/>
      <c r="B590" s="124"/>
      <c r="C590" s="124"/>
      <c r="D590" s="158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  <c r="AZ590" s="99"/>
      <c r="BA590" s="99"/>
    </row>
    <row r="591" spans="1:53" ht="14.25" customHeight="1" x14ac:dyDescent="0.25">
      <c r="A591" s="124"/>
      <c r="B591" s="124"/>
      <c r="C591" s="124"/>
      <c r="D591" s="158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99"/>
    </row>
    <row r="592" spans="1:53" ht="14.25" customHeight="1" x14ac:dyDescent="0.25">
      <c r="A592" s="124"/>
      <c r="B592" s="124"/>
      <c r="C592" s="124"/>
      <c r="D592" s="158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99"/>
    </row>
    <row r="593" spans="1:53" ht="14.25" customHeight="1" x14ac:dyDescent="0.25">
      <c r="A593" s="124"/>
      <c r="B593" s="124"/>
      <c r="C593" s="124"/>
      <c r="D593" s="158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  <c r="AP593" s="99"/>
      <c r="AQ593" s="99"/>
      <c r="AR593" s="99"/>
      <c r="AS593" s="99"/>
      <c r="AT593" s="99"/>
      <c r="AU593" s="99"/>
      <c r="AV593" s="99"/>
      <c r="AW593" s="99"/>
      <c r="AX593" s="99"/>
      <c r="AY593" s="99"/>
      <c r="AZ593" s="99"/>
      <c r="BA593" s="99"/>
    </row>
    <row r="594" spans="1:53" ht="14.25" customHeight="1" x14ac:dyDescent="0.25">
      <c r="A594" s="124"/>
      <c r="B594" s="124"/>
      <c r="C594" s="124"/>
      <c r="D594" s="158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  <c r="AP594" s="99"/>
      <c r="AQ594" s="99"/>
      <c r="AR594" s="99"/>
      <c r="AS594" s="99"/>
      <c r="AT594" s="99"/>
      <c r="AU594" s="99"/>
      <c r="AV594" s="99"/>
      <c r="AW594" s="99"/>
      <c r="AX594" s="99"/>
      <c r="AY594" s="99"/>
      <c r="AZ594" s="99"/>
      <c r="BA594" s="99"/>
    </row>
    <row r="595" spans="1:53" ht="14.25" customHeight="1" x14ac:dyDescent="0.25">
      <c r="A595" s="124"/>
      <c r="B595" s="124"/>
      <c r="C595" s="124"/>
      <c r="D595" s="158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99"/>
      <c r="AY595" s="99"/>
      <c r="AZ595" s="99"/>
      <c r="BA595" s="99"/>
    </row>
    <row r="596" spans="1:53" ht="14.25" customHeight="1" x14ac:dyDescent="0.25">
      <c r="A596" s="124"/>
      <c r="B596" s="124"/>
      <c r="C596" s="124"/>
      <c r="D596" s="158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  <c r="AZ596" s="99"/>
      <c r="BA596" s="99"/>
    </row>
    <row r="597" spans="1:53" ht="14.25" customHeight="1" x14ac:dyDescent="0.25">
      <c r="A597" s="124"/>
      <c r="B597" s="124"/>
      <c r="C597" s="124"/>
      <c r="D597" s="158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  <c r="AZ597" s="99"/>
      <c r="BA597" s="99"/>
    </row>
    <row r="598" spans="1:53" ht="14.25" customHeight="1" x14ac:dyDescent="0.25">
      <c r="A598" s="124"/>
      <c r="B598" s="124"/>
      <c r="C598" s="124"/>
      <c r="D598" s="158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  <c r="AZ598" s="99"/>
      <c r="BA598" s="99"/>
    </row>
    <row r="599" spans="1:53" ht="14.25" customHeight="1" x14ac:dyDescent="0.25">
      <c r="A599" s="124"/>
      <c r="B599" s="124"/>
      <c r="C599" s="124"/>
      <c r="D599" s="158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  <c r="AZ599" s="99"/>
      <c r="BA599" s="99"/>
    </row>
    <row r="600" spans="1:53" ht="14.25" customHeight="1" x14ac:dyDescent="0.25">
      <c r="A600" s="124"/>
      <c r="B600" s="124"/>
      <c r="C600" s="124"/>
      <c r="D600" s="158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99"/>
      <c r="AG600" s="99"/>
      <c r="AH600" s="99"/>
      <c r="AI600" s="99"/>
      <c r="AJ600" s="99"/>
      <c r="AK600" s="99"/>
      <c r="AL600" s="99"/>
      <c r="AM600" s="99"/>
      <c r="AN600" s="99"/>
      <c r="AO600" s="99"/>
      <c r="AP600" s="99"/>
      <c r="AQ600" s="99"/>
      <c r="AR600" s="99"/>
      <c r="AS600" s="99"/>
      <c r="AT600" s="99"/>
      <c r="AU600" s="99"/>
      <c r="AV600" s="99"/>
      <c r="AW600" s="99"/>
      <c r="AX600" s="99"/>
      <c r="AY600" s="99"/>
      <c r="AZ600" s="99"/>
      <c r="BA600" s="99"/>
    </row>
    <row r="601" spans="1:53" ht="14.25" customHeight="1" x14ac:dyDescent="0.25">
      <c r="A601" s="124"/>
      <c r="B601" s="124"/>
      <c r="C601" s="124"/>
      <c r="D601" s="158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  <c r="AK601" s="99"/>
      <c r="AL601" s="99"/>
      <c r="AM601" s="99"/>
      <c r="AN601" s="99"/>
      <c r="AO601" s="99"/>
      <c r="AP601" s="99"/>
      <c r="AQ601" s="99"/>
      <c r="AR601" s="99"/>
      <c r="AS601" s="99"/>
      <c r="AT601" s="99"/>
      <c r="AU601" s="99"/>
      <c r="AV601" s="99"/>
      <c r="AW601" s="99"/>
      <c r="AX601" s="99"/>
      <c r="AY601" s="99"/>
      <c r="AZ601" s="99"/>
      <c r="BA601" s="99"/>
    </row>
    <row r="602" spans="1:53" ht="14.25" customHeight="1" x14ac:dyDescent="0.25">
      <c r="A602" s="124"/>
      <c r="B602" s="124"/>
      <c r="C602" s="124"/>
      <c r="D602" s="158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  <c r="AP602" s="99"/>
      <c r="AQ602" s="99"/>
      <c r="AR602" s="99"/>
      <c r="AS602" s="99"/>
      <c r="AT602" s="99"/>
      <c r="AU602" s="99"/>
      <c r="AV602" s="99"/>
      <c r="AW602" s="99"/>
      <c r="AX602" s="99"/>
      <c r="AY602" s="99"/>
      <c r="AZ602" s="99"/>
      <c r="BA602" s="99"/>
    </row>
    <row r="603" spans="1:53" ht="14.25" customHeight="1" x14ac:dyDescent="0.25">
      <c r="A603" s="124"/>
      <c r="B603" s="124"/>
      <c r="C603" s="124"/>
      <c r="D603" s="158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99"/>
      <c r="AG603" s="99"/>
      <c r="AH603" s="99"/>
      <c r="AI603" s="99"/>
      <c r="AJ603" s="99"/>
      <c r="AK603" s="99"/>
      <c r="AL603" s="99"/>
      <c r="AM603" s="99"/>
      <c r="AN603" s="99"/>
      <c r="AO603" s="99"/>
      <c r="AP603" s="99"/>
      <c r="AQ603" s="99"/>
      <c r="AR603" s="99"/>
      <c r="AS603" s="99"/>
      <c r="AT603" s="99"/>
      <c r="AU603" s="99"/>
      <c r="AV603" s="99"/>
      <c r="AW603" s="99"/>
      <c r="AX603" s="99"/>
      <c r="AY603" s="99"/>
      <c r="AZ603" s="99"/>
      <c r="BA603" s="99"/>
    </row>
    <row r="604" spans="1:53" ht="14.25" customHeight="1" x14ac:dyDescent="0.25">
      <c r="A604" s="124"/>
      <c r="B604" s="124"/>
      <c r="C604" s="124"/>
      <c r="D604" s="158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99"/>
      <c r="AL604" s="99"/>
      <c r="AM604" s="99"/>
      <c r="AN604" s="99"/>
      <c r="AO604" s="99"/>
      <c r="AP604" s="99"/>
      <c r="AQ604" s="99"/>
      <c r="AR604" s="99"/>
      <c r="AS604" s="99"/>
      <c r="AT604" s="99"/>
      <c r="AU604" s="99"/>
      <c r="AV604" s="99"/>
      <c r="AW604" s="99"/>
      <c r="AX604" s="99"/>
      <c r="AY604" s="99"/>
      <c r="AZ604" s="99"/>
      <c r="BA604" s="99"/>
    </row>
    <row r="605" spans="1:53" ht="14.25" customHeight="1" x14ac:dyDescent="0.25">
      <c r="A605" s="124"/>
      <c r="B605" s="124"/>
      <c r="C605" s="124"/>
      <c r="D605" s="158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  <c r="AP605" s="99"/>
      <c r="AQ605" s="99"/>
      <c r="AR605" s="99"/>
      <c r="AS605" s="99"/>
      <c r="AT605" s="99"/>
      <c r="AU605" s="99"/>
      <c r="AV605" s="99"/>
      <c r="AW605" s="99"/>
      <c r="AX605" s="99"/>
      <c r="AY605" s="99"/>
      <c r="AZ605" s="99"/>
      <c r="BA605" s="99"/>
    </row>
    <row r="606" spans="1:53" ht="14.25" customHeight="1" x14ac:dyDescent="0.25">
      <c r="A606" s="124"/>
      <c r="B606" s="124"/>
      <c r="C606" s="124"/>
      <c r="D606" s="158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99"/>
      <c r="AY606" s="99"/>
      <c r="AZ606" s="99"/>
      <c r="BA606" s="99"/>
    </row>
    <row r="607" spans="1:53" ht="14.25" customHeight="1" x14ac:dyDescent="0.25">
      <c r="A607" s="124"/>
      <c r="B607" s="124"/>
      <c r="C607" s="124"/>
      <c r="D607" s="158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  <c r="AK607" s="99"/>
      <c r="AL607" s="99"/>
      <c r="AM607" s="99"/>
      <c r="AN607" s="99"/>
      <c r="AO607" s="99"/>
      <c r="AP607" s="99"/>
      <c r="AQ607" s="99"/>
      <c r="AR607" s="99"/>
      <c r="AS607" s="99"/>
      <c r="AT607" s="99"/>
      <c r="AU607" s="99"/>
      <c r="AV607" s="99"/>
      <c r="AW607" s="99"/>
      <c r="AX607" s="99"/>
      <c r="AY607" s="99"/>
      <c r="AZ607" s="99"/>
      <c r="BA607" s="99"/>
    </row>
    <row r="608" spans="1:53" ht="14.25" customHeight="1" x14ac:dyDescent="0.25">
      <c r="A608" s="124"/>
      <c r="B608" s="124"/>
      <c r="C608" s="124"/>
      <c r="D608" s="158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  <c r="AP608" s="99"/>
      <c r="AQ608" s="99"/>
      <c r="AR608" s="99"/>
      <c r="AS608" s="99"/>
      <c r="AT608" s="99"/>
      <c r="AU608" s="99"/>
      <c r="AV608" s="99"/>
      <c r="AW608" s="99"/>
      <c r="AX608" s="99"/>
      <c r="AY608" s="99"/>
      <c r="AZ608" s="99"/>
      <c r="BA608" s="99"/>
    </row>
    <row r="609" spans="1:53" ht="14.25" customHeight="1" x14ac:dyDescent="0.25">
      <c r="A609" s="124"/>
      <c r="B609" s="124"/>
      <c r="C609" s="124"/>
      <c r="D609" s="158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  <c r="AP609" s="99"/>
      <c r="AQ609" s="99"/>
      <c r="AR609" s="99"/>
      <c r="AS609" s="99"/>
      <c r="AT609" s="99"/>
      <c r="AU609" s="99"/>
      <c r="AV609" s="99"/>
      <c r="AW609" s="99"/>
      <c r="AX609" s="99"/>
      <c r="AY609" s="99"/>
      <c r="AZ609" s="99"/>
      <c r="BA609" s="99"/>
    </row>
    <row r="610" spans="1:53" ht="14.25" customHeight="1" x14ac:dyDescent="0.25">
      <c r="A610" s="124"/>
      <c r="B610" s="124"/>
      <c r="C610" s="124"/>
      <c r="D610" s="158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  <c r="AP610" s="99"/>
      <c r="AQ610" s="99"/>
      <c r="AR610" s="99"/>
      <c r="AS610" s="99"/>
      <c r="AT610" s="99"/>
      <c r="AU610" s="99"/>
      <c r="AV610" s="99"/>
      <c r="AW610" s="99"/>
      <c r="AX610" s="99"/>
      <c r="AY610" s="99"/>
      <c r="AZ610" s="99"/>
      <c r="BA610" s="99"/>
    </row>
    <row r="611" spans="1:53" ht="14.25" customHeight="1" x14ac:dyDescent="0.25">
      <c r="A611" s="124"/>
      <c r="B611" s="124"/>
      <c r="C611" s="124"/>
      <c r="D611" s="158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  <c r="AP611" s="99"/>
      <c r="AQ611" s="99"/>
      <c r="AR611" s="99"/>
      <c r="AS611" s="99"/>
      <c r="AT611" s="99"/>
      <c r="AU611" s="99"/>
      <c r="AV611" s="99"/>
      <c r="AW611" s="99"/>
      <c r="AX611" s="99"/>
      <c r="AY611" s="99"/>
      <c r="AZ611" s="99"/>
      <c r="BA611" s="99"/>
    </row>
    <row r="612" spans="1:53" ht="14.25" customHeight="1" x14ac:dyDescent="0.25">
      <c r="A612" s="124"/>
      <c r="B612" s="124"/>
      <c r="C612" s="124"/>
      <c r="D612" s="158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99"/>
      <c r="AT612" s="99"/>
      <c r="AU612" s="99"/>
      <c r="AV612" s="99"/>
      <c r="AW612" s="99"/>
      <c r="AX612" s="99"/>
      <c r="AY612" s="99"/>
      <c r="AZ612" s="99"/>
      <c r="BA612" s="99"/>
    </row>
    <row r="613" spans="1:53" ht="14.25" customHeight="1" x14ac:dyDescent="0.25">
      <c r="A613" s="124"/>
      <c r="B613" s="124"/>
      <c r="C613" s="124"/>
      <c r="D613" s="158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  <c r="AK613" s="99"/>
      <c r="AL613" s="99"/>
      <c r="AM613" s="99"/>
      <c r="AN613" s="99"/>
      <c r="AO613" s="99"/>
      <c r="AP613" s="99"/>
      <c r="AQ613" s="99"/>
      <c r="AR613" s="99"/>
      <c r="AS613" s="99"/>
      <c r="AT613" s="99"/>
      <c r="AU613" s="99"/>
      <c r="AV613" s="99"/>
      <c r="AW613" s="99"/>
      <c r="AX613" s="99"/>
      <c r="AY613" s="99"/>
      <c r="AZ613" s="99"/>
      <c r="BA613" s="99"/>
    </row>
    <row r="614" spans="1:53" ht="14.25" customHeight="1" x14ac:dyDescent="0.25">
      <c r="A614" s="124"/>
      <c r="B614" s="124"/>
      <c r="C614" s="124"/>
      <c r="D614" s="158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99"/>
      <c r="AG614" s="99"/>
      <c r="AH614" s="99"/>
      <c r="AI614" s="99"/>
      <c r="AJ614" s="99"/>
      <c r="AK614" s="99"/>
      <c r="AL614" s="99"/>
      <c r="AM614" s="99"/>
      <c r="AN614" s="99"/>
      <c r="AO614" s="99"/>
      <c r="AP614" s="99"/>
      <c r="AQ614" s="99"/>
      <c r="AR614" s="99"/>
      <c r="AS614" s="99"/>
      <c r="AT614" s="99"/>
      <c r="AU614" s="99"/>
      <c r="AV614" s="99"/>
      <c r="AW614" s="99"/>
      <c r="AX614" s="99"/>
      <c r="AY614" s="99"/>
      <c r="AZ614" s="99"/>
      <c r="BA614" s="99"/>
    </row>
    <row r="615" spans="1:53" ht="14.25" customHeight="1" x14ac:dyDescent="0.25">
      <c r="A615" s="124"/>
      <c r="B615" s="124"/>
      <c r="C615" s="124"/>
      <c r="D615" s="158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99"/>
      <c r="AG615" s="99"/>
      <c r="AH615" s="99"/>
      <c r="AI615" s="99"/>
      <c r="AJ615" s="99"/>
      <c r="AK615" s="99"/>
      <c r="AL615" s="99"/>
      <c r="AM615" s="99"/>
      <c r="AN615" s="99"/>
      <c r="AO615" s="99"/>
      <c r="AP615" s="99"/>
      <c r="AQ615" s="99"/>
      <c r="AR615" s="99"/>
      <c r="AS615" s="99"/>
      <c r="AT615" s="99"/>
      <c r="AU615" s="99"/>
      <c r="AV615" s="99"/>
      <c r="AW615" s="99"/>
      <c r="AX615" s="99"/>
      <c r="AY615" s="99"/>
      <c r="AZ615" s="99"/>
      <c r="BA615" s="99"/>
    </row>
    <row r="616" spans="1:53" ht="14.25" customHeight="1" x14ac:dyDescent="0.25">
      <c r="A616" s="124"/>
      <c r="B616" s="124"/>
      <c r="C616" s="124"/>
      <c r="D616" s="158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99"/>
      <c r="AG616" s="99"/>
      <c r="AH616" s="99"/>
      <c r="AI616" s="99"/>
      <c r="AJ616" s="99"/>
      <c r="AK616" s="99"/>
      <c r="AL616" s="99"/>
      <c r="AM616" s="99"/>
      <c r="AN616" s="99"/>
      <c r="AO616" s="99"/>
      <c r="AP616" s="99"/>
      <c r="AQ616" s="99"/>
      <c r="AR616" s="99"/>
      <c r="AS616" s="99"/>
      <c r="AT616" s="99"/>
      <c r="AU616" s="99"/>
      <c r="AV616" s="99"/>
      <c r="AW616" s="99"/>
      <c r="AX616" s="99"/>
      <c r="AY616" s="99"/>
      <c r="AZ616" s="99"/>
      <c r="BA616" s="99"/>
    </row>
    <row r="617" spans="1:53" ht="14.25" customHeight="1" x14ac:dyDescent="0.25">
      <c r="A617" s="124"/>
      <c r="B617" s="124"/>
      <c r="C617" s="124"/>
      <c r="D617" s="158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99"/>
      <c r="AG617" s="99"/>
      <c r="AH617" s="99"/>
      <c r="AI617" s="99"/>
      <c r="AJ617" s="99"/>
      <c r="AK617" s="99"/>
      <c r="AL617" s="99"/>
      <c r="AM617" s="99"/>
      <c r="AN617" s="99"/>
      <c r="AO617" s="99"/>
      <c r="AP617" s="99"/>
      <c r="AQ617" s="99"/>
      <c r="AR617" s="99"/>
      <c r="AS617" s="99"/>
      <c r="AT617" s="99"/>
      <c r="AU617" s="99"/>
      <c r="AV617" s="99"/>
      <c r="AW617" s="99"/>
      <c r="AX617" s="99"/>
      <c r="AY617" s="99"/>
      <c r="AZ617" s="99"/>
      <c r="BA617" s="99"/>
    </row>
    <row r="618" spans="1:53" ht="14.25" customHeight="1" x14ac:dyDescent="0.25">
      <c r="A618" s="124"/>
      <c r="B618" s="124"/>
      <c r="C618" s="124"/>
      <c r="D618" s="158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99"/>
      <c r="AG618" s="99"/>
      <c r="AH618" s="99"/>
      <c r="AI618" s="99"/>
      <c r="AJ618" s="99"/>
      <c r="AK618" s="99"/>
      <c r="AL618" s="99"/>
      <c r="AM618" s="99"/>
      <c r="AN618" s="99"/>
      <c r="AO618" s="99"/>
      <c r="AP618" s="99"/>
      <c r="AQ618" s="99"/>
      <c r="AR618" s="99"/>
      <c r="AS618" s="99"/>
      <c r="AT618" s="99"/>
      <c r="AU618" s="99"/>
      <c r="AV618" s="99"/>
      <c r="AW618" s="99"/>
      <c r="AX618" s="99"/>
      <c r="AY618" s="99"/>
      <c r="AZ618" s="99"/>
      <c r="BA618" s="99"/>
    </row>
    <row r="619" spans="1:53" ht="14.25" customHeight="1" x14ac:dyDescent="0.25">
      <c r="A619" s="124"/>
      <c r="B619" s="124"/>
      <c r="C619" s="124"/>
      <c r="D619" s="158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  <c r="AK619" s="99"/>
      <c r="AL619" s="99"/>
      <c r="AM619" s="99"/>
      <c r="AN619" s="99"/>
      <c r="AO619" s="99"/>
      <c r="AP619" s="99"/>
      <c r="AQ619" s="99"/>
      <c r="AR619" s="99"/>
      <c r="AS619" s="99"/>
      <c r="AT619" s="99"/>
      <c r="AU619" s="99"/>
      <c r="AV619" s="99"/>
      <c r="AW619" s="99"/>
      <c r="AX619" s="99"/>
      <c r="AY619" s="99"/>
      <c r="AZ619" s="99"/>
      <c r="BA619" s="99"/>
    </row>
    <row r="620" spans="1:53" ht="14.25" customHeight="1" x14ac:dyDescent="0.25">
      <c r="A620" s="124"/>
      <c r="B620" s="124"/>
      <c r="C620" s="124"/>
      <c r="D620" s="158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99"/>
      <c r="AG620" s="99"/>
      <c r="AH620" s="99"/>
      <c r="AI620" s="99"/>
      <c r="AJ620" s="99"/>
      <c r="AK620" s="99"/>
      <c r="AL620" s="99"/>
      <c r="AM620" s="99"/>
      <c r="AN620" s="99"/>
      <c r="AO620" s="99"/>
      <c r="AP620" s="99"/>
      <c r="AQ620" s="99"/>
      <c r="AR620" s="99"/>
      <c r="AS620" s="99"/>
      <c r="AT620" s="99"/>
      <c r="AU620" s="99"/>
      <c r="AV620" s="99"/>
      <c r="AW620" s="99"/>
      <c r="AX620" s="99"/>
      <c r="AY620" s="99"/>
      <c r="AZ620" s="99"/>
      <c r="BA620" s="99"/>
    </row>
    <row r="621" spans="1:53" ht="14.25" customHeight="1" x14ac:dyDescent="0.25">
      <c r="A621" s="124"/>
      <c r="B621" s="124"/>
      <c r="C621" s="124"/>
      <c r="D621" s="158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99"/>
      <c r="AG621" s="99"/>
      <c r="AH621" s="99"/>
      <c r="AI621" s="99"/>
      <c r="AJ621" s="99"/>
      <c r="AK621" s="99"/>
      <c r="AL621" s="99"/>
      <c r="AM621" s="99"/>
      <c r="AN621" s="99"/>
      <c r="AO621" s="99"/>
      <c r="AP621" s="99"/>
      <c r="AQ621" s="99"/>
      <c r="AR621" s="99"/>
      <c r="AS621" s="99"/>
      <c r="AT621" s="99"/>
      <c r="AU621" s="99"/>
      <c r="AV621" s="99"/>
      <c r="AW621" s="99"/>
      <c r="AX621" s="99"/>
      <c r="AY621" s="99"/>
      <c r="AZ621" s="99"/>
      <c r="BA621" s="99"/>
    </row>
    <row r="622" spans="1:53" ht="14.25" customHeight="1" x14ac:dyDescent="0.25">
      <c r="A622" s="124"/>
      <c r="B622" s="124"/>
      <c r="C622" s="124"/>
      <c r="D622" s="158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  <c r="AK622" s="99"/>
      <c r="AL622" s="99"/>
      <c r="AM622" s="99"/>
      <c r="AN622" s="99"/>
      <c r="AO622" s="99"/>
      <c r="AP622" s="99"/>
      <c r="AQ622" s="99"/>
      <c r="AR622" s="99"/>
      <c r="AS622" s="99"/>
      <c r="AT622" s="99"/>
      <c r="AU622" s="99"/>
      <c r="AV622" s="99"/>
      <c r="AW622" s="99"/>
      <c r="AX622" s="99"/>
      <c r="AY622" s="99"/>
      <c r="AZ622" s="99"/>
      <c r="BA622" s="99"/>
    </row>
    <row r="623" spans="1:53" ht="14.25" customHeight="1" x14ac:dyDescent="0.25">
      <c r="A623" s="124"/>
      <c r="B623" s="124"/>
      <c r="C623" s="124"/>
      <c r="D623" s="158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99"/>
      <c r="AG623" s="99"/>
      <c r="AH623" s="99"/>
      <c r="AI623" s="99"/>
      <c r="AJ623" s="99"/>
      <c r="AK623" s="99"/>
      <c r="AL623" s="99"/>
      <c r="AM623" s="99"/>
      <c r="AN623" s="99"/>
      <c r="AO623" s="99"/>
      <c r="AP623" s="99"/>
      <c r="AQ623" s="99"/>
      <c r="AR623" s="99"/>
      <c r="AS623" s="99"/>
      <c r="AT623" s="99"/>
      <c r="AU623" s="99"/>
      <c r="AV623" s="99"/>
      <c r="AW623" s="99"/>
      <c r="AX623" s="99"/>
      <c r="AY623" s="99"/>
      <c r="AZ623" s="99"/>
      <c r="BA623" s="99"/>
    </row>
    <row r="624" spans="1:53" ht="14.25" customHeight="1" x14ac:dyDescent="0.25">
      <c r="A624" s="124"/>
      <c r="B624" s="124"/>
      <c r="C624" s="124"/>
      <c r="D624" s="158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  <c r="AK624" s="99"/>
      <c r="AL624" s="99"/>
      <c r="AM624" s="99"/>
      <c r="AN624" s="99"/>
      <c r="AO624" s="99"/>
      <c r="AP624" s="99"/>
      <c r="AQ624" s="99"/>
      <c r="AR624" s="99"/>
      <c r="AS624" s="99"/>
      <c r="AT624" s="99"/>
      <c r="AU624" s="99"/>
      <c r="AV624" s="99"/>
      <c r="AW624" s="99"/>
      <c r="AX624" s="99"/>
      <c r="AY624" s="99"/>
      <c r="AZ624" s="99"/>
      <c r="BA624" s="99"/>
    </row>
    <row r="625" spans="1:53" ht="14.25" customHeight="1" x14ac:dyDescent="0.25">
      <c r="A625" s="124"/>
      <c r="B625" s="124"/>
      <c r="C625" s="124"/>
      <c r="D625" s="158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  <c r="AP625" s="99"/>
      <c r="AQ625" s="99"/>
      <c r="AR625" s="99"/>
      <c r="AS625" s="99"/>
      <c r="AT625" s="99"/>
      <c r="AU625" s="99"/>
      <c r="AV625" s="99"/>
      <c r="AW625" s="99"/>
      <c r="AX625" s="99"/>
      <c r="AY625" s="99"/>
      <c r="AZ625" s="99"/>
      <c r="BA625" s="99"/>
    </row>
    <row r="626" spans="1:53" ht="14.25" customHeight="1" x14ac:dyDescent="0.25">
      <c r="A626" s="124"/>
      <c r="B626" s="124"/>
      <c r="C626" s="124"/>
      <c r="D626" s="158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  <c r="AK626" s="99"/>
      <c r="AL626" s="99"/>
      <c r="AM626" s="99"/>
      <c r="AN626" s="99"/>
      <c r="AO626" s="99"/>
      <c r="AP626" s="99"/>
      <c r="AQ626" s="99"/>
      <c r="AR626" s="99"/>
      <c r="AS626" s="99"/>
      <c r="AT626" s="99"/>
      <c r="AU626" s="99"/>
      <c r="AV626" s="99"/>
      <c r="AW626" s="99"/>
      <c r="AX626" s="99"/>
      <c r="AY626" s="99"/>
      <c r="AZ626" s="99"/>
      <c r="BA626" s="99"/>
    </row>
    <row r="627" spans="1:53" ht="14.25" customHeight="1" x14ac:dyDescent="0.25">
      <c r="A627" s="124"/>
      <c r="B627" s="124"/>
      <c r="C627" s="124"/>
      <c r="D627" s="158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99"/>
      <c r="AG627" s="99"/>
      <c r="AH627" s="99"/>
      <c r="AI627" s="99"/>
      <c r="AJ627" s="99"/>
      <c r="AK627" s="99"/>
      <c r="AL627" s="99"/>
      <c r="AM627" s="99"/>
      <c r="AN627" s="99"/>
      <c r="AO627" s="99"/>
      <c r="AP627" s="99"/>
      <c r="AQ627" s="99"/>
      <c r="AR627" s="99"/>
      <c r="AS627" s="99"/>
      <c r="AT627" s="99"/>
      <c r="AU627" s="99"/>
      <c r="AV627" s="99"/>
      <c r="AW627" s="99"/>
      <c r="AX627" s="99"/>
      <c r="AY627" s="99"/>
      <c r="AZ627" s="99"/>
      <c r="BA627" s="99"/>
    </row>
    <row r="628" spans="1:53" ht="14.25" customHeight="1" x14ac:dyDescent="0.25">
      <c r="A628" s="124"/>
      <c r="B628" s="124"/>
      <c r="C628" s="124"/>
      <c r="D628" s="158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99"/>
      <c r="AG628" s="99"/>
      <c r="AH628" s="99"/>
      <c r="AI628" s="99"/>
      <c r="AJ628" s="99"/>
      <c r="AK628" s="99"/>
      <c r="AL628" s="99"/>
      <c r="AM628" s="99"/>
      <c r="AN628" s="99"/>
      <c r="AO628" s="99"/>
      <c r="AP628" s="99"/>
      <c r="AQ628" s="99"/>
      <c r="AR628" s="99"/>
      <c r="AS628" s="99"/>
      <c r="AT628" s="99"/>
      <c r="AU628" s="99"/>
      <c r="AV628" s="99"/>
      <c r="AW628" s="99"/>
      <c r="AX628" s="99"/>
      <c r="AY628" s="99"/>
      <c r="AZ628" s="99"/>
      <c r="BA628" s="99"/>
    </row>
    <row r="629" spans="1:53" ht="14.25" customHeight="1" x14ac:dyDescent="0.25">
      <c r="A629" s="124"/>
      <c r="B629" s="124"/>
      <c r="C629" s="124"/>
      <c r="D629" s="158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  <c r="AK629" s="99"/>
      <c r="AL629" s="99"/>
      <c r="AM629" s="99"/>
      <c r="AN629" s="99"/>
      <c r="AO629" s="99"/>
      <c r="AP629" s="99"/>
      <c r="AQ629" s="99"/>
      <c r="AR629" s="99"/>
      <c r="AS629" s="99"/>
      <c r="AT629" s="99"/>
      <c r="AU629" s="99"/>
      <c r="AV629" s="99"/>
      <c r="AW629" s="99"/>
      <c r="AX629" s="99"/>
      <c r="AY629" s="99"/>
      <c r="AZ629" s="99"/>
      <c r="BA629" s="99"/>
    </row>
    <row r="630" spans="1:53" ht="14.25" customHeight="1" x14ac:dyDescent="0.25">
      <c r="A630" s="124"/>
      <c r="B630" s="124"/>
      <c r="C630" s="124"/>
      <c r="D630" s="158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99"/>
      <c r="AG630" s="99"/>
      <c r="AH630" s="99"/>
      <c r="AI630" s="99"/>
      <c r="AJ630" s="99"/>
      <c r="AK630" s="99"/>
      <c r="AL630" s="99"/>
      <c r="AM630" s="99"/>
      <c r="AN630" s="99"/>
      <c r="AO630" s="99"/>
      <c r="AP630" s="99"/>
      <c r="AQ630" s="99"/>
      <c r="AR630" s="99"/>
      <c r="AS630" s="99"/>
      <c r="AT630" s="99"/>
      <c r="AU630" s="99"/>
      <c r="AV630" s="99"/>
      <c r="AW630" s="99"/>
      <c r="AX630" s="99"/>
      <c r="AY630" s="99"/>
      <c r="AZ630" s="99"/>
      <c r="BA630" s="99"/>
    </row>
    <row r="631" spans="1:53" ht="14.25" customHeight="1" x14ac:dyDescent="0.25">
      <c r="A631" s="124"/>
      <c r="B631" s="124"/>
      <c r="C631" s="124"/>
      <c r="D631" s="158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99"/>
      <c r="AG631" s="99"/>
      <c r="AH631" s="99"/>
      <c r="AI631" s="99"/>
      <c r="AJ631" s="99"/>
      <c r="AK631" s="99"/>
      <c r="AL631" s="99"/>
      <c r="AM631" s="99"/>
      <c r="AN631" s="99"/>
      <c r="AO631" s="99"/>
      <c r="AP631" s="99"/>
      <c r="AQ631" s="99"/>
      <c r="AR631" s="99"/>
      <c r="AS631" s="99"/>
      <c r="AT631" s="99"/>
      <c r="AU631" s="99"/>
      <c r="AV631" s="99"/>
      <c r="AW631" s="99"/>
      <c r="AX631" s="99"/>
      <c r="AY631" s="99"/>
      <c r="AZ631" s="99"/>
      <c r="BA631" s="99"/>
    </row>
    <row r="632" spans="1:53" ht="14.25" customHeight="1" x14ac:dyDescent="0.25">
      <c r="A632" s="124"/>
      <c r="B632" s="124"/>
      <c r="C632" s="124"/>
      <c r="D632" s="158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99"/>
      <c r="AG632" s="99"/>
      <c r="AH632" s="99"/>
      <c r="AI632" s="99"/>
      <c r="AJ632" s="99"/>
      <c r="AK632" s="99"/>
      <c r="AL632" s="99"/>
      <c r="AM632" s="99"/>
      <c r="AN632" s="99"/>
      <c r="AO632" s="99"/>
      <c r="AP632" s="99"/>
      <c r="AQ632" s="99"/>
      <c r="AR632" s="99"/>
      <c r="AS632" s="99"/>
      <c r="AT632" s="99"/>
      <c r="AU632" s="99"/>
      <c r="AV632" s="99"/>
      <c r="AW632" s="99"/>
      <c r="AX632" s="99"/>
      <c r="AY632" s="99"/>
      <c r="AZ632" s="99"/>
      <c r="BA632" s="99"/>
    </row>
    <row r="633" spans="1:53" ht="14.25" customHeight="1" x14ac:dyDescent="0.25">
      <c r="A633" s="124"/>
      <c r="B633" s="124"/>
      <c r="C633" s="124"/>
      <c r="D633" s="158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99"/>
      <c r="AG633" s="99"/>
      <c r="AH633" s="99"/>
      <c r="AI633" s="99"/>
      <c r="AJ633" s="99"/>
      <c r="AK633" s="99"/>
      <c r="AL633" s="99"/>
      <c r="AM633" s="99"/>
      <c r="AN633" s="99"/>
      <c r="AO633" s="99"/>
      <c r="AP633" s="99"/>
      <c r="AQ633" s="99"/>
      <c r="AR633" s="99"/>
      <c r="AS633" s="99"/>
      <c r="AT633" s="99"/>
      <c r="AU633" s="99"/>
      <c r="AV633" s="99"/>
      <c r="AW633" s="99"/>
      <c r="AX633" s="99"/>
      <c r="AY633" s="99"/>
      <c r="AZ633" s="99"/>
      <c r="BA633" s="99"/>
    </row>
    <row r="634" spans="1:53" ht="14.25" customHeight="1" x14ac:dyDescent="0.25">
      <c r="A634" s="124"/>
      <c r="B634" s="124"/>
      <c r="C634" s="124"/>
      <c r="D634" s="158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99"/>
      <c r="AG634" s="99"/>
      <c r="AH634" s="99"/>
      <c r="AI634" s="99"/>
      <c r="AJ634" s="99"/>
      <c r="AK634" s="99"/>
      <c r="AL634" s="99"/>
      <c r="AM634" s="99"/>
      <c r="AN634" s="99"/>
      <c r="AO634" s="99"/>
      <c r="AP634" s="99"/>
      <c r="AQ634" s="99"/>
      <c r="AR634" s="99"/>
      <c r="AS634" s="99"/>
      <c r="AT634" s="99"/>
      <c r="AU634" s="99"/>
      <c r="AV634" s="99"/>
      <c r="AW634" s="99"/>
      <c r="AX634" s="99"/>
      <c r="AY634" s="99"/>
      <c r="AZ634" s="99"/>
      <c r="BA634" s="99"/>
    </row>
    <row r="635" spans="1:53" ht="14.25" customHeight="1" x14ac:dyDescent="0.25">
      <c r="A635" s="124"/>
      <c r="B635" s="124"/>
      <c r="C635" s="124"/>
      <c r="D635" s="158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  <c r="AK635" s="99"/>
      <c r="AL635" s="99"/>
      <c r="AM635" s="99"/>
      <c r="AN635" s="99"/>
      <c r="AO635" s="99"/>
      <c r="AP635" s="99"/>
      <c r="AQ635" s="99"/>
      <c r="AR635" s="99"/>
      <c r="AS635" s="99"/>
      <c r="AT635" s="99"/>
      <c r="AU635" s="99"/>
      <c r="AV635" s="99"/>
      <c r="AW635" s="99"/>
      <c r="AX635" s="99"/>
      <c r="AY635" s="99"/>
      <c r="AZ635" s="99"/>
      <c r="BA635" s="99"/>
    </row>
    <row r="636" spans="1:53" ht="14.25" customHeight="1" x14ac:dyDescent="0.25">
      <c r="A636" s="124"/>
      <c r="B636" s="124"/>
      <c r="C636" s="124"/>
      <c r="D636" s="158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99"/>
      <c r="AG636" s="99"/>
      <c r="AH636" s="99"/>
      <c r="AI636" s="99"/>
      <c r="AJ636" s="99"/>
      <c r="AK636" s="99"/>
      <c r="AL636" s="99"/>
      <c r="AM636" s="99"/>
      <c r="AN636" s="99"/>
      <c r="AO636" s="99"/>
      <c r="AP636" s="99"/>
      <c r="AQ636" s="99"/>
      <c r="AR636" s="99"/>
      <c r="AS636" s="99"/>
      <c r="AT636" s="99"/>
      <c r="AU636" s="99"/>
      <c r="AV636" s="99"/>
      <c r="AW636" s="99"/>
      <c r="AX636" s="99"/>
      <c r="AY636" s="99"/>
      <c r="AZ636" s="99"/>
      <c r="BA636" s="99"/>
    </row>
    <row r="637" spans="1:53" ht="14.25" customHeight="1" x14ac:dyDescent="0.25">
      <c r="A637" s="124"/>
      <c r="B637" s="124"/>
      <c r="C637" s="124"/>
      <c r="D637" s="158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99"/>
      <c r="AG637" s="99"/>
      <c r="AH637" s="99"/>
      <c r="AI637" s="99"/>
      <c r="AJ637" s="99"/>
      <c r="AK637" s="99"/>
      <c r="AL637" s="99"/>
      <c r="AM637" s="99"/>
      <c r="AN637" s="99"/>
      <c r="AO637" s="99"/>
      <c r="AP637" s="99"/>
      <c r="AQ637" s="99"/>
      <c r="AR637" s="99"/>
      <c r="AS637" s="99"/>
      <c r="AT637" s="99"/>
      <c r="AU637" s="99"/>
      <c r="AV637" s="99"/>
      <c r="AW637" s="99"/>
      <c r="AX637" s="99"/>
      <c r="AY637" s="99"/>
      <c r="AZ637" s="99"/>
      <c r="BA637" s="99"/>
    </row>
    <row r="638" spans="1:53" ht="14.25" customHeight="1" x14ac:dyDescent="0.25">
      <c r="A638" s="124"/>
      <c r="B638" s="124"/>
      <c r="C638" s="124"/>
      <c r="D638" s="158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  <c r="AK638" s="99"/>
      <c r="AL638" s="99"/>
      <c r="AM638" s="99"/>
      <c r="AN638" s="99"/>
      <c r="AO638" s="99"/>
      <c r="AP638" s="99"/>
      <c r="AQ638" s="99"/>
      <c r="AR638" s="99"/>
      <c r="AS638" s="99"/>
      <c r="AT638" s="99"/>
      <c r="AU638" s="99"/>
      <c r="AV638" s="99"/>
      <c r="AW638" s="99"/>
      <c r="AX638" s="99"/>
      <c r="AY638" s="99"/>
      <c r="AZ638" s="99"/>
      <c r="BA638" s="99"/>
    </row>
    <row r="639" spans="1:53" ht="14.25" customHeight="1" x14ac:dyDescent="0.25">
      <c r="A639" s="124"/>
      <c r="B639" s="124"/>
      <c r="C639" s="124"/>
      <c r="D639" s="158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  <c r="AK639" s="99"/>
      <c r="AL639" s="99"/>
      <c r="AM639" s="99"/>
      <c r="AN639" s="99"/>
      <c r="AO639" s="99"/>
      <c r="AP639" s="99"/>
      <c r="AQ639" s="99"/>
      <c r="AR639" s="99"/>
      <c r="AS639" s="99"/>
      <c r="AT639" s="99"/>
      <c r="AU639" s="99"/>
      <c r="AV639" s="99"/>
      <c r="AW639" s="99"/>
      <c r="AX639" s="99"/>
      <c r="AY639" s="99"/>
      <c r="AZ639" s="99"/>
      <c r="BA639" s="99"/>
    </row>
    <row r="640" spans="1:53" ht="14.25" customHeight="1" x14ac:dyDescent="0.25">
      <c r="A640" s="124"/>
      <c r="B640" s="124"/>
      <c r="C640" s="124"/>
      <c r="D640" s="158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99"/>
      <c r="AG640" s="99"/>
      <c r="AH640" s="99"/>
      <c r="AI640" s="99"/>
      <c r="AJ640" s="99"/>
      <c r="AK640" s="99"/>
      <c r="AL640" s="99"/>
      <c r="AM640" s="99"/>
      <c r="AN640" s="99"/>
      <c r="AO640" s="99"/>
      <c r="AP640" s="99"/>
      <c r="AQ640" s="99"/>
      <c r="AR640" s="99"/>
      <c r="AS640" s="99"/>
      <c r="AT640" s="99"/>
      <c r="AU640" s="99"/>
      <c r="AV640" s="99"/>
      <c r="AW640" s="99"/>
      <c r="AX640" s="99"/>
      <c r="AY640" s="99"/>
      <c r="AZ640" s="99"/>
      <c r="BA640" s="99"/>
    </row>
    <row r="641" spans="1:53" ht="14.25" customHeight="1" x14ac:dyDescent="0.25">
      <c r="A641" s="124"/>
      <c r="B641" s="124"/>
      <c r="C641" s="124"/>
      <c r="D641" s="158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99"/>
      <c r="AG641" s="99"/>
      <c r="AH641" s="99"/>
      <c r="AI641" s="99"/>
      <c r="AJ641" s="99"/>
      <c r="AK641" s="99"/>
      <c r="AL641" s="99"/>
      <c r="AM641" s="99"/>
      <c r="AN641" s="99"/>
      <c r="AO641" s="99"/>
      <c r="AP641" s="99"/>
      <c r="AQ641" s="99"/>
      <c r="AR641" s="99"/>
      <c r="AS641" s="99"/>
      <c r="AT641" s="99"/>
      <c r="AU641" s="99"/>
      <c r="AV641" s="99"/>
      <c r="AW641" s="99"/>
      <c r="AX641" s="99"/>
      <c r="AY641" s="99"/>
      <c r="AZ641" s="99"/>
      <c r="BA641" s="99"/>
    </row>
    <row r="642" spans="1:53" ht="14.25" customHeight="1" x14ac:dyDescent="0.25">
      <c r="A642" s="124"/>
      <c r="B642" s="124"/>
      <c r="C642" s="124"/>
      <c r="D642" s="158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99"/>
      <c r="AG642" s="99"/>
      <c r="AH642" s="99"/>
      <c r="AI642" s="99"/>
      <c r="AJ642" s="99"/>
      <c r="AK642" s="99"/>
      <c r="AL642" s="99"/>
      <c r="AM642" s="99"/>
      <c r="AN642" s="99"/>
      <c r="AO642" s="99"/>
      <c r="AP642" s="99"/>
      <c r="AQ642" s="99"/>
      <c r="AR642" s="99"/>
      <c r="AS642" s="99"/>
      <c r="AT642" s="99"/>
      <c r="AU642" s="99"/>
      <c r="AV642" s="99"/>
      <c r="AW642" s="99"/>
      <c r="AX642" s="99"/>
      <c r="AY642" s="99"/>
      <c r="AZ642" s="99"/>
      <c r="BA642" s="99"/>
    </row>
    <row r="643" spans="1:53" ht="14.25" customHeight="1" x14ac:dyDescent="0.25">
      <c r="A643" s="124"/>
      <c r="B643" s="124"/>
      <c r="C643" s="124"/>
      <c r="D643" s="158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99"/>
      <c r="AG643" s="99"/>
      <c r="AH643" s="99"/>
      <c r="AI643" s="99"/>
      <c r="AJ643" s="99"/>
      <c r="AK643" s="99"/>
      <c r="AL643" s="99"/>
      <c r="AM643" s="99"/>
      <c r="AN643" s="99"/>
      <c r="AO643" s="99"/>
      <c r="AP643" s="99"/>
      <c r="AQ643" s="99"/>
      <c r="AR643" s="99"/>
      <c r="AS643" s="99"/>
      <c r="AT643" s="99"/>
      <c r="AU643" s="99"/>
      <c r="AV643" s="99"/>
      <c r="AW643" s="99"/>
      <c r="AX643" s="99"/>
      <c r="AY643" s="99"/>
      <c r="AZ643" s="99"/>
      <c r="BA643" s="99"/>
    </row>
    <row r="644" spans="1:53" ht="14.25" customHeight="1" x14ac:dyDescent="0.25">
      <c r="A644" s="124"/>
      <c r="B644" s="124"/>
      <c r="C644" s="124"/>
      <c r="D644" s="158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99"/>
      <c r="AG644" s="99"/>
      <c r="AH644" s="99"/>
      <c r="AI644" s="99"/>
      <c r="AJ644" s="99"/>
      <c r="AK644" s="99"/>
      <c r="AL644" s="99"/>
      <c r="AM644" s="99"/>
      <c r="AN644" s="99"/>
      <c r="AO644" s="99"/>
      <c r="AP644" s="99"/>
      <c r="AQ644" s="99"/>
      <c r="AR644" s="99"/>
      <c r="AS644" s="99"/>
      <c r="AT644" s="99"/>
      <c r="AU644" s="99"/>
      <c r="AV644" s="99"/>
      <c r="AW644" s="99"/>
      <c r="AX644" s="99"/>
      <c r="AY644" s="99"/>
      <c r="AZ644" s="99"/>
      <c r="BA644" s="99"/>
    </row>
    <row r="645" spans="1:53" ht="14.25" customHeight="1" x14ac:dyDescent="0.25">
      <c r="A645" s="124"/>
      <c r="B645" s="124"/>
      <c r="C645" s="124"/>
      <c r="D645" s="158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  <c r="AE645" s="99"/>
      <c r="AF645" s="99"/>
      <c r="AG645" s="99"/>
      <c r="AH645" s="99"/>
      <c r="AI645" s="99"/>
      <c r="AJ645" s="99"/>
      <c r="AK645" s="99"/>
      <c r="AL645" s="99"/>
      <c r="AM645" s="99"/>
      <c r="AN645" s="99"/>
      <c r="AO645" s="99"/>
      <c r="AP645" s="99"/>
      <c r="AQ645" s="99"/>
      <c r="AR645" s="99"/>
      <c r="AS645" s="99"/>
      <c r="AT645" s="99"/>
      <c r="AU645" s="99"/>
      <c r="AV645" s="99"/>
      <c r="AW645" s="99"/>
      <c r="AX645" s="99"/>
      <c r="AY645" s="99"/>
      <c r="AZ645" s="99"/>
      <c r="BA645" s="99"/>
    </row>
    <row r="646" spans="1:53" ht="14.25" customHeight="1" x14ac:dyDescent="0.25">
      <c r="A646" s="124"/>
      <c r="B646" s="124"/>
      <c r="C646" s="124"/>
      <c r="D646" s="158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99"/>
      <c r="AG646" s="99"/>
      <c r="AH646" s="99"/>
      <c r="AI646" s="99"/>
      <c r="AJ646" s="99"/>
      <c r="AK646" s="99"/>
      <c r="AL646" s="99"/>
      <c r="AM646" s="99"/>
      <c r="AN646" s="99"/>
      <c r="AO646" s="99"/>
      <c r="AP646" s="99"/>
      <c r="AQ646" s="99"/>
      <c r="AR646" s="99"/>
      <c r="AS646" s="99"/>
      <c r="AT646" s="99"/>
      <c r="AU646" s="99"/>
      <c r="AV646" s="99"/>
      <c r="AW646" s="99"/>
      <c r="AX646" s="99"/>
      <c r="AY646" s="99"/>
      <c r="AZ646" s="99"/>
      <c r="BA646" s="99"/>
    </row>
    <row r="647" spans="1:53" ht="14.25" customHeight="1" x14ac:dyDescent="0.25">
      <c r="A647" s="124"/>
      <c r="B647" s="124"/>
      <c r="C647" s="124"/>
      <c r="D647" s="158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99"/>
      <c r="AG647" s="99"/>
      <c r="AH647" s="99"/>
      <c r="AI647" s="99"/>
      <c r="AJ647" s="99"/>
      <c r="AK647" s="99"/>
      <c r="AL647" s="99"/>
      <c r="AM647" s="99"/>
      <c r="AN647" s="99"/>
      <c r="AO647" s="99"/>
      <c r="AP647" s="99"/>
      <c r="AQ647" s="99"/>
      <c r="AR647" s="99"/>
      <c r="AS647" s="99"/>
      <c r="AT647" s="99"/>
      <c r="AU647" s="99"/>
      <c r="AV647" s="99"/>
      <c r="AW647" s="99"/>
      <c r="AX647" s="99"/>
      <c r="AY647" s="99"/>
      <c r="AZ647" s="99"/>
      <c r="BA647" s="99"/>
    </row>
    <row r="648" spans="1:53" ht="14.25" customHeight="1" x14ac:dyDescent="0.25">
      <c r="A648" s="124"/>
      <c r="B648" s="124"/>
      <c r="C648" s="124"/>
      <c r="D648" s="158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99"/>
      <c r="AG648" s="99"/>
      <c r="AH648" s="99"/>
      <c r="AI648" s="99"/>
      <c r="AJ648" s="99"/>
      <c r="AK648" s="99"/>
      <c r="AL648" s="99"/>
      <c r="AM648" s="99"/>
      <c r="AN648" s="99"/>
      <c r="AO648" s="99"/>
      <c r="AP648" s="99"/>
      <c r="AQ648" s="99"/>
      <c r="AR648" s="99"/>
      <c r="AS648" s="99"/>
      <c r="AT648" s="99"/>
      <c r="AU648" s="99"/>
      <c r="AV648" s="99"/>
      <c r="AW648" s="99"/>
      <c r="AX648" s="99"/>
      <c r="AY648" s="99"/>
      <c r="AZ648" s="99"/>
      <c r="BA648" s="99"/>
    </row>
    <row r="649" spans="1:53" ht="14.25" customHeight="1" x14ac:dyDescent="0.25">
      <c r="A649" s="124"/>
      <c r="B649" s="124"/>
      <c r="C649" s="124"/>
      <c r="D649" s="158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99"/>
      <c r="AG649" s="99"/>
      <c r="AH649" s="99"/>
      <c r="AI649" s="99"/>
      <c r="AJ649" s="99"/>
      <c r="AK649" s="99"/>
      <c r="AL649" s="99"/>
      <c r="AM649" s="99"/>
      <c r="AN649" s="99"/>
      <c r="AO649" s="99"/>
      <c r="AP649" s="99"/>
      <c r="AQ649" s="99"/>
      <c r="AR649" s="99"/>
      <c r="AS649" s="99"/>
      <c r="AT649" s="99"/>
      <c r="AU649" s="99"/>
      <c r="AV649" s="99"/>
      <c r="AW649" s="99"/>
      <c r="AX649" s="99"/>
      <c r="AY649" s="99"/>
      <c r="AZ649" s="99"/>
      <c r="BA649" s="99"/>
    </row>
    <row r="650" spans="1:53" ht="14.25" customHeight="1" x14ac:dyDescent="0.25">
      <c r="A650" s="124"/>
      <c r="B650" s="124"/>
      <c r="C650" s="124"/>
      <c r="D650" s="158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  <c r="AK650" s="99"/>
      <c r="AL650" s="99"/>
      <c r="AM650" s="99"/>
      <c r="AN650" s="99"/>
      <c r="AO650" s="99"/>
      <c r="AP650" s="99"/>
      <c r="AQ650" s="99"/>
      <c r="AR650" s="99"/>
      <c r="AS650" s="99"/>
      <c r="AT650" s="99"/>
      <c r="AU650" s="99"/>
      <c r="AV650" s="99"/>
      <c r="AW650" s="99"/>
      <c r="AX650" s="99"/>
      <c r="AY650" s="99"/>
      <c r="AZ650" s="99"/>
      <c r="BA650" s="99"/>
    </row>
    <row r="651" spans="1:53" ht="14.25" customHeight="1" x14ac:dyDescent="0.25">
      <c r="A651" s="124"/>
      <c r="B651" s="124"/>
      <c r="C651" s="124"/>
      <c r="D651" s="158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99"/>
      <c r="AG651" s="99"/>
      <c r="AH651" s="99"/>
      <c r="AI651" s="99"/>
      <c r="AJ651" s="99"/>
      <c r="AK651" s="99"/>
      <c r="AL651" s="99"/>
      <c r="AM651" s="99"/>
      <c r="AN651" s="99"/>
      <c r="AO651" s="99"/>
      <c r="AP651" s="99"/>
      <c r="AQ651" s="99"/>
      <c r="AR651" s="99"/>
      <c r="AS651" s="99"/>
      <c r="AT651" s="99"/>
      <c r="AU651" s="99"/>
      <c r="AV651" s="99"/>
      <c r="AW651" s="99"/>
      <c r="AX651" s="99"/>
      <c r="AY651" s="99"/>
      <c r="AZ651" s="99"/>
      <c r="BA651" s="99"/>
    </row>
    <row r="652" spans="1:53" ht="14.25" customHeight="1" x14ac:dyDescent="0.25">
      <c r="A652" s="124"/>
      <c r="B652" s="124"/>
      <c r="C652" s="124"/>
      <c r="D652" s="158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  <c r="AK652" s="99"/>
      <c r="AL652" s="99"/>
      <c r="AM652" s="99"/>
      <c r="AN652" s="99"/>
      <c r="AO652" s="99"/>
      <c r="AP652" s="99"/>
      <c r="AQ652" s="99"/>
      <c r="AR652" s="99"/>
      <c r="AS652" s="99"/>
      <c r="AT652" s="99"/>
      <c r="AU652" s="99"/>
      <c r="AV652" s="99"/>
      <c r="AW652" s="99"/>
      <c r="AX652" s="99"/>
      <c r="AY652" s="99"/>
      <c r="AZ652" s="99"/>
      <c r="BA652" s="99"/>
    </row>
    <row r="653" spans="1:53" ht="14.25" customHeight="1" x14ac:dyDescent="0.25">
      <c r="A653" s="124"/>
      <c r="B653" s="124"/>
      <c r="C653" s="124"/>
      <c r="D653" s="158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99"/>
      <c r="AG653" s="99"/>
      <c r="AH653" s="99"/>
      <c r="AI653" s="99"/>
      <c r="AJ653" s="99"/>
      <c r="AK653" s="99"/>
      <c r="AL653" s="99"/>
      <c r="AM653" s="99"/>
      <c r="AN653" s="99"/>
      <c r="AO653" s="99"/>
      <c r="AP653" s="99"/>
      <c r="AQ653" s="99"/>
      <c r="AR653" s="99"/>
      <c r="AS653" s="99"/>
      <c r="AT653" s="99"/>
      <c r="AU653" s="99"/>
      <c r="AV653" s="99"/>
      <c r="AW653" s="99"/>
      <c r="AX653" s="99"/>
      <c r="AY653" s="99"/>
      <c r="AZ653" s="99"/>
      <c r="BA653" s="99"/>
    </row>
    <row r="654" spans="1:53" ht="14.25" customHeight="1" x14ac:dyDescent="0.25">
      <c r="A654" s="124"/>
      <c r="B654" s="124"/>
      <c r="C654" s="124"/>
      <c r="D654" s="158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  <c r="AK654" s="99"/>
      <c r="AL654" s="99"/>
      <c r="AM654" s="99"/>
      <c r="AN654" s="99"/>
      <c r="AO654" s="99"/>
      <c r="AP654" s="99"/>
      <c r="AQ654" s="99"/>
      <c r="AR654" s="99"/>
      <c r="AS654" s="99"/>
      <c r="AT654" s="99"/>
      <c r="AU654" s="99"/>
      <c r="AV654" s="99"/>
      <c r="AW654" s="99"/>
      <c r="AX654" s="99"/>
      <c r="AY654" s="99"/>
      <c r="AZ654" s="99"/>
      <c r="BA654" s="99"/>
    </row>
    <row r="655" spans="1:53" ht="14.25" customHeight="1" x14ac:dyDescent="0.25">
      <c r="A655" s="124"/>
      <c r="B655" s="124"/>
      <c r="C655" s="124"/>
      <c r="D655" s="158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99"/>
      <c r="AG655" s="99"/>
      <c r="AH655" s="99"/>
      <c r="AI655" s="99"/>
      <c r="AJ655" s="99"/>
      <c r="AK655" s="99"/>
      <c r="AL655" s="99"/>
      <c r="AM655" s="99"/>
      <c r="AN655" s="99"/>
      <c r="AO655" s="99"/>
      <c r="AP655" s="99"/>
      <c r="AQ655" s="99"/>
      <c r="AR655" s="99"/>
      <c r="AS655" s="99"/>
      <c r="AT655" s="99"/>
      <c r="AU655" s="99"/>
      <c r="AV655" s="99"/>
      <c r="AW655" s="99"/>
      <c r="AX655" s="99"/>
      <c r="AY655" s="99"/>
      <c r="AZ655" s="99"/>
      <c r="BA655" s="99"/>
    </row>
    <row r="656" spans="1:53" ht="14.25" customHeight="1" x14ac:dyDescent="0.25">
      <c r="A656" s="124"/>
      <c r="B656" s="124"/>
      <c r="C656" s="124"/>
      <c r="D656" s="158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99"/>
      <c r="AG656" s="99"/>
      <c r="AH656" s="99"/>
      <c r="AI656" s="99"/>
      <c r="AJ656" s="99"/>
      <c r="AK656" s="99"/>
      <c r="AL656" s="99"/>
      <c r="AM656" s="99"/>
      <c r="AN656" s="99"/>
      <c r="AO656" s="99"/>
      <c r="AP656" s="99"/>
      <c r="AQ656" s="99"/>
      <c r="AR656" s="99"/>
      <c r="AS656" s="99"/>
      <c r="AT656" s="99"/>
      <c r="AU656" s="99"/>
      <c r="AV656" s="99"/>
      <c r="AW656" s="99"/>
      <c r="AX656" s="99"/>
      <c r="AY656" s="99"/>
      <c r="AZ656" s="99"/>
      <c r="BA656" s="99"/>
    </row>
    <row r="657" spans="1:53" ht="14.25" customHeight="1" x14ac:dyDescent="0.25">
      <c r="A657" s="124"/>
      <c r="B657" s="124"/>
      <c r="C657" s="124"/>
      <c r="D657" s="158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99"/>
      <c r="AG657" s="99"/>
      <c r="AH657" s="99"/>
      <c r="AI657" s="99"/>
      <c r="AJ657" s="99"/>
      <c r="AK657" s="99"/>
      <c r="AL657" s="99"/>
      <c r="AM657" s="99"/>
      <c r="AN657" s="99"/>
      <c r="AO657" s="99"/>
      <c r="AP657" s="99"/>
      <c r="AQ657" s="99"/>
      <c r="AR657" s="99"/>
      <c r="AS657" s="99"/>
      <c r="AT657" s="99"/>
      <c r="AU657" s="99"/>
      <c r="AV657" s="99"/>
      <c r="AW657" s="99"/>
      <c r="AX657" s="99"/>
      <c r="AY657" s="99"/>
      <c r="AZ657" s="99"/>
      <c r="BA657" s="99"/>
    </row>
    <row r="658" spans="1:53" ht="14.25" customHeight="1" x14ac:dyDescent="0.25">
      <c r="A658" s="124"/>
      <c r="B658" s="124"/>
      <c r="C658" s="124"/>
      <c r="D658" s="158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99"/>
      <c r="AG658" s="99"/>
      <c r="AH658" s="99"/>
      <c r="AI658" s="99"/>
      <c r="AJ658" s="99"/>
      <c r="AK658" s="99"/>
      <c r="AL658" s="99"/>
      <c r="AM658" s="99"/>
      <c r="AN658" s="99"/>
      <c r="AO658" s="99"/>
      <c r="AP658" s="99"/>
      <c r="AQ658" s="99"/>
      <c r="AR658" s="99"/>
      <c r="AS658" s="99"/>
      <c r="AT658" s="99"/>
      <c r="AU658" s="99"/>
      <c r="AV658" s="99"/>
      <c r="AW658" s="99"/>
      <c r="AX658" s="99"/>
      <c r="AY658" s="99"/>
      <c r="AZ658" s="99"/>
      <c r="BA658" s="99"/>
    </row>
    <row r="659" spans="1:53" ht="14.25" customHeight="1" x14ac:dyDescent="0.25">
      <c r="A659" s="124"/>
      <c r="B659" s="124"/>
      <c r="C659" s="124"/>
      <c r="D659" s="158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99"/>
      <c r="AG659" s="99"/>
      <c r="AH659" s="99"/>
      <c r="AI659" s="99"/>
      <c r="AJ659" s="99"/>
      <c r="AK659" s="99"/>
      <c r="AL659" s="99"/>
      <c r="AM659" s="99"/>
      <c r="AN659" s="99"/>
      <c r="AO659" s="99"/>
      <c r="AP659" s="99"/>
      <c r="AQ659" s="99"/>
      <c r="AR659" s="99"/>
      <c r="AS659" s="99"/>
      <c r="AT659" s="99"/>
      <c r="AU659" s="99"/>
      <c r="AV659" s="99"/>
      <c r="AW659" s="99"/>
      <c r="AX659" s="99"/>
      <c r="AY659" s="99"/>
      <c r="AZ659" s="99"/>
      <c r="BA659" s="99"/>
    </row>
    <row r="660" spans="1:53" ht="14.25" customHeight="1" x14ac:dyDescent="0.25">
      <c r="A660" s="124"/>
      <c r="B660" s="124"/>
      <c r="C660" s="124"/>
      <c r="D660" s="158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99"/>
      <c r="AG660" s="99"/>
      <c r="AH660" s="99"/>
      <c r="AI660" s="99"/>
      <c r="AJ660" s="99"/>
      <c r="AK660" s="99"/>
      <c r="AL660" s="99"/>
      <c r="AM660" s="99"/>
      <c r="AN660" s="99"/>
      <c r="AO660" s="99"/>
      <c r="AP660" s="99"/>
      <c r="AQ660" s="99"/>
      <c r="AR660" s="99"/>
      <c r="AS660" s="99"/>
      <c r="AT660" s="99"/>
      <c r="AU660" s="99"/>
      <c r="AV660" s="99"/>
      <c r="AW660" s="99"/>
      <c r="AX660" s="99"/>
      <c r="AY660" s="99"/>
      <c r="AZ660" s="99"/>
      <c r="BA660" s="99"/>
    </row>
    <row r="661" spans="1:53" ht="14.25" customHeight="1" x14ac:dyDescent="0.25">
      <c r="A661" s="124"/>
      <c r="B661" s="124"/>
      <c r="C661" s="124"/>
      <c r="D661" s="158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99"/>
      <c r="AG661" s="99"/>
      <c r="AH661" s="99"/>
      <c r="AI661" s="99"/>
      <c r="AJ661" s="99"/>
      <c r="AK661" s="99"/>
      <c r="AL661" s="99"/>
      <c r="AM661" s="99"/>
      <c r="AN661" s="99"/>
      <c r="AO661" s="99"/>
      <c r="AP661" s="99"/>
      <c r="AQ661" s="99"/>
      <c r="AR661" s="99"/>
      <c r="AS661" s="99"/>
      <c r="AT661" s="99"/>
      <c r="AU661" s="99"/>
      <c r="AV661" s="99"/>
      <c r="AW661" s="99"/>
      <c r="AX661" s="99"/>
      <c r="AY661" s="99"/>
      <c r="AZ661" s="99"/>
      <c r="BA661" s="99"/>
    </row>
    <row r="662" spans="1:53" ht="14.25" customHeight="1" x14ac:dyDescent="0.25">
      <c r="A662" s="124"/>
      <c r="B662" s="124"/>
      <c r="C662" s="124"/>
      <c r="D662" s="158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99"/>
      <c r="AG662" s="99"/>
      <c r="AH662" s="99"/>
      <c r="AI662" s="99"/>
      <c r="AJ662" s="99"/>
      <c r="AK662" s="99"/>
      <c r="AL662" s="99"/>
      <c r="AM662" s="99"/>
      <c r="AN662" s="99"/>
      <c r="AO662" s="99"/>
      <c r="AP662" s="99"/>
      <c r="AQ662" s="99"/>
      <c r="AR662" s="99"/>
      <c r="AS662" s="99"/>
      <c r="AT662" s="99"/>
      <c r="AU662" s="99"/>
      <c r="AV662" s="99"/>
      <c r="AW662" s="99"/>
      <c r="AX662" s="99"/>
      <c r="AY662" s="99"/>
      <c r="AZ662" s="99"/>
      <c r="BA662" s="99"/>
    </row>
    <row r="663" spans="1:53" ht="14.25" customHeight="1" x14ac:dyDescent="0.25">
      <c r="A663" s="124"/>
      <c r="B663" s="124"/>
      <c r="C663" s="124"/>
      <c r="D663" s="158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99"/>
      <c r="AG663" s="99"/>
      <c r="AH663" s="99"/>
      <c r="AI663" s="99"/>
      <c r="AJ663" s="99"/>
      <c r="AK663" s="99"/>
      <c r="AL663" s="99"/>
      <c r="AM663" s="99"/>
      <c r="AN663" s="99"/>
      <c r="AO663" s="99"/>
      <c r="AP663" s="99"/>
      <c r="AQ663" s="99"/>
      <c r="AR663" s="99"/>
      <c r="AS663" s="99"/>
      <c r="AT663" s="99"/>
      <c r="AU663" s="99"/>
      <c r="AV663" s="99"/>
      <c r="AW663" s="99"/>
      <c r="AX663" s="99"/>
      <c r="AY663" s="99"/>
      <c r="AZ663" s="99"/>
      <c r="BA663" s="99"/>
    </row>
    <row r="664" spans="1:53" ht="14.25" customHeight="1" x14ac:dyDescent="0.25">
      <c r="A664" s="124"/>
      <c r="B664" s="124"/>
      <c r="C664" s="124"/>
      <c r="D664" s="158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99"/>
      <c r="AT664" s="99"/>
      <c r="AU664" s="99"/>
      <c r="AV664" s="99"/>
      <c r="AW664" s="99"/>
      <c r="AX664" s="99"/>
      <c r="AY664" s="99"/>
      <c r="AZ664" s="99"/>
      <c r="BA664" s="99"/>
    </row>
    <row r="665" spans="1:53" ht="14.25" customHeight="1" x14ac:dyDescent="0.25">
      <c r="A665" s="124"/>
      <c r="B665" s="124"/>
      <c r="C665" s="124"/>
      <c r="D665" s="158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99"/>
      <c r="AT665" s="99"/>
      <c r="AU665" s="99"/>
      <c r="AV665" s="99"/>
      <c r="AW665" s="99"/>
      <c r="AX665" s="99"/>
      <c r="AY665" s="99"/>
      <c r="AZ665" s="99"/>
      <c r="BA665" s="99"/>
    </row>
    <row r="666" spans="1:53" ht="14.25" customHeight="1" x14ac:dyDescent="0.25">
      <c r="A666" s="124"/>
      <c r="B666" s="124"/>
      <c r="C666" s="124"/>
      <c r="D666" s="158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99"/>
      <c r="AT666" s="99"/>
      <c r="AU666" s="99"/>
      <c r="AV666" s="99"/>
      <c r="AW666" s="99"/>
      <c r="AX666" s="99"/>
      <c r="AY666" s="99"/>
      <c r="AZ666" s="99"/>
      <c r="BA666" s="99"/>
    </row>
    <row r="667" spans="1:53" ht="14.25" customHeight="1" x14ac:dyDescent="0.25">
      <c r="A667" s="124"/>
      <c r="B667" s="124"/>
      <c r="C667" s="124"/>
      <c r="D667" s="158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99"/>
      <c r="AT667" s="99"/>
      <c r="AU667" s="99"/>
      <c r="AV667" s="99"/>
      <c r="AW667" s="99"/>
      <c r="AX667" s="99"/>
      <c r="AY667" s="99"/>
      <c r="AZ667" s="99"/>
      <c r="BA667" s="99"/>
    </row>
    <row r="668" spans="1:53" ht="14.25" customHeight="1" x14ac:dyDescent="0.25">
      <c r="A668" s="124"/>
      <c r="B668" s="124"/>
      <c r="C668" s="124"/>
      <c r="D668" s="158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99"/>
      <c r="AT668" s="99"/>
      <c r="AU668" s="99"/>
      <c r="AV668" s="99"/>
      <c r="AW668" s="99"/>
      <c r="AX668" s="99"/>
      <c r="AY668" s="99"/>
      <c r="AZ668" s="99"/>
      <c r="BA668" s="99"/>
    </row>
    <row r="669" spans="1:53" ht="14.25" customHeight="1" x14ac:dyDescent="0.25">
      <c r="A669" s="124"/>
      <c r="B669" s="124"/>
      <c r="C669" s="124"/>
      <c r="D669" s="158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  <c r="AK669" s="99"/>
      <c r="AL669" s="99"/>
      <c r="AM669" s="99"/>
      <c r="AN669" s="99"/>
      <c r="AO669" s="99"/>
      <c r="AP669" s="99"/>
      <c r="AQ669" s="99"/>
      <c r="AR669" s="99"/>
      <c r="AS669" s="99"/>
      <c r="AT669" s="99"/>
      <c r="AU669" s="99"/>
      <c r="AV669" s="99"/>
      <c r="AW669" s="99"/>
      <c r="AX669" s="99"/>
      <c r="AY669" s="99"/>
      <c r="AZ669" s="99"/>
      <c r="BA669" s="99"/>
    </row>
    <row r="670" spans="1:53" ht="14.25" customHeight="1" x14ac:dyDescent="0.25">
      <c r="A670" s="124"/>
      <c r="B670" s="124"/>
      <c r="C670" s="124"/>
      <c r="D670" s="158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  <c r="AK670" s="99"/>
      <c r="AL670" s="99"/>
      <c r="AM670" s="99"/>
      <c r="AN670" s="99"/>
      <c r="AO670" s="99"/>
      <c r="AP670" s="99"/>
      <c r="AQ670" s="99"/>
      <c r="AR670" s="99"/>
      <c r="AS670" s="99"/>
      <c r="AT670" s="99"/>
      <c r="AU670" s="99"/>
      <c r="AV670" s="99"/>
      <c r="AW670" s="99"/>
      <c r="AX670" s="99"/>
      <c r="AY670" s="99"/>
      <c r="AZ670" s="99"/>
      <c r="BA670" s="99"/>
    </row>
    <row r="671" spans="1:53" ht="14.25" customHeight="1" x14ac:dyDescent="0.25">
      <c r="A671" s="124"/>
      <c r="B671" s="124"/>
      <c r="C671" s="124"/>
      <c r="D671" s="158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  <c r="AK671" s="99"/>
      <c r="AL671" s="99"/>
      <c r="AM671" s="99"/>
      <c r="AN671" s="99"/>
      <c r="AO671" s="99"/>
      <c r="AP671" s="99"/>
      <c r="AQ671" s="99"/>
      <c r="AR671" s="99"/>
      <c r="AS671" s="99"/>
      <c r="AT671" s="99"/>
      <c r="AU671" s="99"/>
      <c r="AV671" s="99"/>
      <c r="AW671" s="99"/>
      <c r="AX671" s="99"/>
      <c r="AY671" s="99"/>
      <c r="AZ671" s="99"/>
      <c r="BA671" s="99"/>
    </row>
    <row r="672" spans="1:53" ht="14.25" customHeight="1" x14ac:dyDescent="0.25">
      <c r="A672" s="124"/>
      <c r="B672" s="124"/>
      <c r="C672" s="124"/>
      <c r="D672" s="158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99"/>
      <c r="AG672" s="99"/>
      <c r="AH672" s="99"/>
      <c r="AI672" s="99"/>
      <c r="AJ672" s="99"/>
      <c r="AK672" s="99"/>
      <c r="AL672" s="99"/>
      <c r="AM672" s="99"/>
      <c r="AN672" s="99"/>
      <c r="AO672" s="99"/>
      <c r="AP672" s="99"/>
      <c r="AQ672" s="99"/>
      <c r="AR672" s="99"/>
      <c r="AS672" s="99"/>
      <c r="AT672" s="99"/>
      <c r="AU672" s="99"/>
      <c r="AV672" s="99"/>
      <c r="AW672" s="99"/>
      <c r="AX672" s="99"/>
      <c r="AY672" s="99"/>
      <c r="AZ672" s="99"/>
      <c r="BA672" s="99"/>
    </row>
    <row r="673" spans="1:53" ht="14.25" customHeight="1" x14ac:dyDescent="0.25">
      <c r="A673" s="124"/>
      <c r="B673" s="124"/>
      <c r="C673" s="124"/>
      <c r="D673" s="158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99"/>
      <c r="AG673" s="99"/>
      <c r="AH673" s="99"/>
      <c r="AI673" s="99"/>
      <c r="AJ673" s="99"/>
      <c r="AK673" s="99"/>
      <c r="AL673" s="99"/>
      <c r="AM673" s="99"/>
      <c r="AN673" s="99"/>
      <c r="AO673" s="99"/>
      <c r="AP673" s="99"/>
      <c r="AQ673" s="99"/>
      <c r="AR673" s="99"/>
      <c r="AS673" s="99"/>
      <c r="AT673" s="99"/>
      <c r="AU673" s="99"/>
      <c r="AV673" s="99"/>
      <c r="AW673" s="99"/>
      <c r="AX673" s="99"/>
      <c r="AY673" s="99"/>
      <c r="AZ673" s="99"/>
      <c r="BA673" s="99"/>
    </row>
    <row r="674" spans="1:53" ht="14.25" customHeight="1" x14ac:dyDescent="0.25">
      <c r="A674" s="124"/>
      <c r="B674" s="124"/>
      <c r="C674" s="124"/>
      <c r="D674" s="158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99"/>
      <c r="AG674" s="99"/>
      <c r="AH674" s="99"/>
      <c r="AI674" s="99"/>
      <c r="AJ674" s="99"/>
      <c r="AK674" s="99"/>
      <c r="AL674" s="99"/>
      <c r="AM674" s="99"/>
      <c r="AN674" s="99"/>
      <c r="AO674" s="99"/>
      <c r="AP674" s="99"/>
      <c r="AQ674" s="99"/>
      <c r="AR674" s="99"/>
      <c r="AS674" s="99"/>
      <c r="AT674" s="99"/>
      <c r="AU674" s="99"/>
      <c r="AV674" s="99"/>
      <c r="AW674" s="99"/>
      <c r="AX674" s="99"/>
      <c r="AY674" s="99"/>
      <c r="AZ674" s="99"/>
      <c r="BA674" s="99"/>
    </row>
    <row r="675" spans="1:53" ht="14.25" customHeight="1" x14ac:dyDescent="0.25">
      <c r="A675" s="124"/>
      <c r="B675" s="124"/>
      <c r="C675" s="124"/>
      <c r="D675" s="158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99"/>
      <c r="AG675" s="99"/>
      <c r="AH675" s="99"/>
      <c r="AI675" s="99"/>
      <c r="AJ675" s="99"/>
      <c r="AK675" s="99"/>
      <c r="AL675" s="99"/>
      <c r="AM675" s="99"/>
      <c r="AN675" s="99"/>
      <c r="AO675" s="99"/>
      <c r="AP675" s="99"/>
      <c r="AQ675" s="99"/>
      <c r="AR675" s="99"/>
      <c r="AS675" s="99"/>
      <c r="AT675" s="99"/>
      <c r="AU675" s="99"/>
      <c r="AV675" s="99"/>
      <c r="AW675" s="99"/>
      <c r="AX675" s="99"/>
      <c r="AY675" s="99"/>
      <c r="AZ675" s="99"/>
      <c r="BA675" s="99"/>
    </row>
    <row r="676" spans="1:53" ht="14.25" customHeight="1" x14ac:dyDescent="0.25">
      <c r="A676" s="124"/>
      <c r="B676" s="124"/>
      <c r="C676" s="124"/>
      <c r="D676" s="158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99"/>
      <c r="AG676" s="99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  <c r="AR676" s="99"/>
      <c r="AS676" s="99"/>
      <c r="AT676" s="99"/>
      <c r="AU676" s="99"/>
      <c r="AV676" s="99"/>
      <c r="AW676" s="99"/>
      <c r="AX676" s="99"/>
      <c r="AY676" s="99"/>
      <c r="AZ676" s="99"/>
      <c r="BA676" s="99"/>
    </row>
    <row r="677" spans="1:53" ht="14.25" customHeight="1" x14ac:dyDescent="0.25">
      <c r="A677" s="124"/>
      <c r="B677" s="124"/>
      <c r="C677" s="124"/>
      <c r="D677" s="158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99"/>
      <c r="AG677" s="99"/>
      <c r="AH677" s="99"/>
      <c r="AI677" s="99"/>
      <c r="AJ677" s="99"/>
      <c r="AK677" s="99"/>
      <c r="AL677" s="99"/>
      <c r="AM677" s="99"/>
      <c r="AN677" s="99"/>
      <c r="AO677" s="99"/>
      <c r="AP677" s="99"/>
      <c r="AQ677" s="99"/>
      <c r="AR677" s="99"/>
      <c r="AS677" s="99"/>
      <c r="AT677" s="99"/>
      <c r="AU677" s="99"/>
      <c r="AV677" s="99"/>
      <c r="AW677" s="99"/>
      <c r="AX677" s="99"/>
      <c r="AY677" s="99"/>
      <c r="AZ677" s="99"/>
      <c r="BA677" s="99"/>
    </row>
    <row r="678" spans="1:53" ht="14.25" customHeight="1" x14ac:dyDescent="0.25">
      <c r="A678" s="124"/>
      <c r="B678" s="124"/>
      <c r="C678" s="124"/>
      <c r="D678" s="158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99"/>
      <c r="AT678" s="99"/>
      <c r="AU678" s="99"/>
      <c r="AV678" s="99"/>
      <c r="AW678" s="99"/>
      <c r="AX678" s="99"/>
      <c r="AY678" s="99"/>
      <c r="AZ678" s="99"/>
      <c r="BA678" s="99"/>
    </row>
    <row r="679" spans="1:53" ht="14.25" customHeight="1" x14ac:dyDescent="0.25">
      <c r="A679" s="124"/>
      <c r="B679" s="124"/>
      <c r="C679" s="124"/>
      <c r="D679" s="158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99"/>
      <c r="AT679" s="99"/>
      <c r="AU679" s="99"/>
      <c r="AV679" s="99"/>
      <c r="AW679" s="99"/>
      <c r="AX679" s="99"/>
      <c r="AY679" s="99"/>
      <c r="AZ679" s="99"/>
      <c r="BA679" s="99"/>
    </row>
    <row r="680" spans="1:53" ht="14.25" customHeight="1" x14ac:dyDescent="0.25">
      <c r="A680" s="124"/>
      <c r="B680" s="124"/>
      <c r="C680" s="124"/>
      <c r="D680" s="158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99"/>
      <c r="AT680" s="99"/>
      <c r="AU680" s="99"/>
      <c r="AV680" s="99"/>
      <c r="AW680" s="99"/>
      <c r="AX680" s="99"/>
      <c r="AY680" s="99"/>
      <c r="AZ680" s="99"/>
      <c r="BA680" s="99"/>
    </row>
    <row r="681" spans="1:53" ht="14.25" customHeight="1" x14ac:dyDescent="0.25">
      <c r="A681" s="124"/>
      <c r="B681" s="124"/>
      <c r="C681" s="124"/>
      <c r="D681" s="158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99"/>
      <c r="AT681" s="99"/>
      <c r="AU681" s="99"/>
      <c r="AV681" s="99"/>
      <c r="AW681" s="99"/>
      <c r="AX681" s="99"/>
      <c r="AY681" s="99"/>
      <c r="AZ681" s="99"/>
      <c r="BA681" s="99"/>
    </row>
    <row r="682" spans="1:53" ht="14.25" customHeight="1" x14ac:dyDescent="0.25">
      <c r="A682" s="124"/>
      <c r="B682" s="124"/>
      <c r="C682" s="124"/>
      <c r="D682" s="158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99"/>
      <c r="AT682" s="99"/>
      <c r="AU682" s="99"/>
      <c r="AV682" s="99"/>
      <c r="AW682" s="99"/>
      <c r="AX682" s="99"/>
      <c r="AY682" s="99"/>
      <c r="AZ682" s="99"/>
      <c r="BA682" s="99"/>
    </row>
    <row r="683" spans="1:53" ht="14.25" customHeight="1" x14ac:dyDescent="0.25">
      <c r="A683" s="124"/>
      <c r="B683" s="124"/>
      <c r="C683" s="124"/>
      <c r="D683" s="158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99"/>
      <c r="AG683" s="99"/>
      <c r="AH683" s="99"/>
      <c r="AI683" s="99"/>
      <c r="AJ683" s="99"/>
      <c r="AK683" s="99"/>
      <c r="AL683" s="99"/>
      <c r="AM683" s="99"/>
      <c r="AN683" s="99"/>
      <c r="AO683" s="99"/>
      <c r="AP683" s="99"/>
      <c r="AQ683" s="99"/>
      <c r="AR683" s="99"/>
      <c r="AS683" s="99"/>
      <c r="AT683" s="99"/>
      <c r="AU683" s="99"/>
      <c r="AV683" s="99"/>
      <c r="AW683" s="99"/>
      <c r="AX683" s="99"/>
      <c r="AY683" s="99"/>
      <c r="AZ683" s="99"/>
      <c r="BA683" s="99"/>
    </row>
    <row r="684" spans="1:53" ht="14.25" customHeight="1" x14ac:dyDescent="0.25">
      <c r="A684" s="124"/>
      <c r="B684" s="124"/>
      <c r="C684" s="124"/>
      <c r="D684" s="158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99"/>
      <c r="AG684" s="99"/>
      <c r="AH684" s="99"/>
      <c r="AI684" s="99"/>
      <c r="AJ684" s="99"/>
      <c r="AK684" s="99"/>
      <c r="AL684" s="99"/>
      <c r="AM684" s="99"/>
      <c r="AN684" s="99"/>
      <c r="AO684" s="99"/>
      <c r="AP684" s="99"/>
      <c r="AQ684" s="99"/>
      <c r="AR684" s="99"/>
      <c r="AS684" s="99"/>
      <c r="AT684" s="99"/>
      <c r="AU684" s="99"/>
      <c r="AV684" s="99"/>
      <c r="AW684" s="99"/>
      <c r="AX684" s="99"/>
      <c r="AY684" s="99"/>
      <c r="AZ684" s="99"/>
      <c r="BA684" s="99"/>
    </row>
    <row r="685" spans="1:53" ht="14.25" customHeight="1" x14ac:dyDescent="0.25">
      <c r="A685" s="124"/>
      <c r="B685" s="124"/>
      <c r="C685" s="124"/>
      <c r="D685" s="158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99"/>
      <c r="AG685" s="99"/>
      <c r="AH685" s="99"/>
      <c r="AI685" s="99"/>
      <c r="AJ685" s="99"/>
      <c r="AK685" s="99"/>
      <c r="AL685" s="99"/>
      <c r="AM685" s="99"/>
      <c r="AN685" s="99"/>
      <c r="AO685" s="99"/>
      <c r="AP685" s="99"/>
      <c r="AQ685" s="99"/>
      <c r="AR685" s="99"/>
      <c r="AS685" s="99"/>
      <c r="AT685" s="99"/>
      <c r="AU685" s="99"/>
      <c r="AV685" s="99"/>
      <c r="AW685" s="99"/>
      <c r="AX685" s="99"/>
      <c r="AY685" s="99"/>
      <c r="AZ685" s="99"/>
      <c r="BA685" s="99"/>
    </row>
    <row r="686" spans="1:53" ht="14.25" customHeight="1" x14ac:dyDescent="0.25">
      <c r="A686" s="124"/>
      <c r="B686" s="124"/>
      <c r="C686" s="124"/>
      <c r="D686" s="158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99"/>
      <c r="AG686" s="99"/>
      <c r="AH686" s="99"/>
      <c r="AI686" s="99"/>
      <c r="AJ686" s="99"/>
      <c r="AK686" s="99"/>
      <c r="AL686" s="99"/>
      <c r="AM686" s="99"/>
      <c r="AN686" s="99"/>
      <c r="AO686" s="99"/>
      <c r="AP686" s="99"/>
      <c r="AQ686" s="99"/>
      <c r="AR686" s="99"/>
      <c r="AS686" s="99"/>
      <c r="AT686" s="99"/>
      <c r="AU686" s="99"/>
      <c r="AV686" s="99"/>
      <c r="AW686" s="99"/>
      <c r="AX686" s="99"/>
      <c r="AY686" s="99"/>
      <c r="AZ686" s="99"/>
      <c r="BA686" s="99"/>
    </row>
    <row r="687" spans="1:53" ht="14.25" customHeight="1" x14ac:dyDescent="0.25">
      <c r="A687" s="124"/>
      <c r="B687" s="124"/>
      <c r="C687" s="124"/>
      <c r="D687" s="158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99"/>
      <c r="AG687" s="99"/>
      <c r="AH687" s="99"/>
      <c r="AI687" s="99"/>
      <c r="AJ687" s="99"/>
      <c r="AK687" s="99"/>
      <c r="AL687" s="99"/>
      <c r="AM687" s="99"/>
      <c r="AN687" s="99"/>
      <c r="AO687" s="99"/>
      <c r="AP687" s="99"/>
      <c r="AQ687" s="99"/>
      <c r="AR687" s="99"/>
      <c r="AS687" s="99"/>
      <c r="AT687" s="99"/>
      <c r="AU687" s="99"/>
      <c r="AV687" s="99"/>
      <c r="AW687" s="99"/>
      <c r="AX687" s="99"/>
      <c r="AY687" s="99"/>
      <c r="AZ687" s="99"/>
      <c r="BA687" s="99"/>
    </row>
    <row r="688" spans="1:53" ht="14.25" customHeight="1" x14ac:dyDescent="0.25">
      <c r="A688" s="124"/>
      <c r="B688" s="124"/>
      <c r="C688" s="124"/>
      <c r="D688" s="158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  <c r="AP688" s="99"/>
      <c r="AQ688" s="99"/>
      <c r="AR688" s="99"/>
      <c r="AS688" s="99"/>
      <c r="AT688" s="99"/>
      <c r="AU688" s="99"/>
      <c r="AV688" s="99"/>
      <c r="AW688" s="99"/>
      <c r="AX688" s="99"/>
      <c r="AY688" s="99"/>
      <c r="AZ688" s="99"/>
      <c r="BA688" s="99"/>
    </row>
    <row r="689" spans="1:53" ht="14.25" customHeight="1" x14ac:dyDescent="0.25">
      <c r="A689" s="124"/>
      <c r="B689" s="124"/>
      <c r="C689" s="124"/>
      <c r="D689" s="158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99"/>
      <c r="AG689" s="99"/>
      <c r="AH689" s="99"/>
      <c r="AI689" s="99"/>
      <c r="AJ689" s="99"/>
      <c r="AK689" s="99"/>
      <c r="AL689" s="99"/>
      <c r="AM689" s="99"/>
      <c r="AN689" s="99"/>
      <c r="AO689" s="99"/>
      <c r="AP689" s="99"/>
      <c r="AQ689" s="99"/>
      <c r="AR689" s="99"/>
      <c r="AS689" s="99"/>
      <c r="AT689" s="99"/>
      <c r="AU689" s="99"/>
      <c r="AV689" s="99"/>
      <c r="AW689" s="99"/>
      <c r="AX689" s="99"/>
      <c r="AY689" s="99"/>
      <c r="AZ689" s="99"/>
      <c r="BA689" s="99"/>
    </row>
    <row r="690" spans="1:53" ht="14.25" customHeight="1" x14ac:dyDescent="0.25">
      <c r="A690" s="124"/>
      <c r="B690" s="124"/>
      <c r="C690" s="124"/>
      <c r="D690" s="158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99"/>
      <c r="AG690" s="99"/>
      <c r="AH690" s="99"/>
      <c r="AI690" s="99"/>
      <c r="AJ690" s="99"/>
      <c r="AK690" s="99"/>
      <c r="AL690" s="99"/>
      <c r="AM690" s="99"/>
      <c r="AN690" s="99"/>
      <c r="AO690" s="99"/>
      <c r="AP690" s="99"/>
      <c r="AQ690" s="99"/>
      <c r="AR690" s="99"/>
      <c r="AS690" s="99"/>
      <c r="AT690" s="99"/>
      <c r="AU690" s="99"/>
      <c r="AV690" s="99"/>
      <c r="AW690" s="99"/>
      <c r="AX690" s="99"/>
      <c r="AY690" s="99"/>
      <c r="AZ690" s="99"/>
      <c r="BA690" s="99"/>
    </row>
    <row r="691" spans="1:53" ht="14.25" customHeight="1" x14ac:dyDescent="0.25">
      <c r="A691" s="124"/>
      <c r="B691" s="124"/>
      <c r="C691" s="124"/>
      <c r="D691" s="158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99"/>
      <c r="AG691" s="99"/>
      <c r="AH691" s="99"/>
      <c r="AI691" s="99"/>
      <c r="AJ691" s="99"/>
      <c r="AK691" s="99"/>
      <c r="AL691" s="99"/>
      <c r="AM691" s="99"/>
      <c r="AN691" s="99"/>
      <c r="AO691" s="99"/>
      <c r="AP691" s="99"/>
      <c r="AQ691" s="99"/>
      <c r="AR691" s="99"/>
      <c r="AS691" s="99"/>
      <c r="AT691" s="99"/>
      <c r="AU691" s="99"/>
      <c r="AV691" s="99"/>
      <c r="AW691" s="99"/>
      <c r="AX691" s="99"/>
      <c r="AY691" s="99"/>
      <c r="AZ691" s="99"/>
      <c r="BA691" s="99"/>
    </row>
    <row r="692" spans="1:53" ht="14.25" customHeight="1" x14ac:dyDescent="0.25">
      <c r="A692" s="124"/>
      <c r="B692" s="124"/>
      <c r="C692" s="124"/>
      <c r="D692" s="158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99"/>
      <c r="AG692" s="99"/>
      <c r="AH692" s="99"/>
      <c r="AI692" s="99"/>
      <c r="AJ692" s="99"/>
      <c r="AK692" s="99"/>
      <c r="AL692" s="99"/>
      <c r="AM692" s="99"/>
      <c r="AN692" s="99"/>
      <c r="AO692" s="99"/>
      <c r="AP692" s="99"/>
      <c r="AQ692" s="99"/>
      <c r="AR692" s="99"/>
      <c r="AS692" s="99"/>
      <c r="AT692" s="99"/>
      <c r="AU692" s="99"/>
      <c r="AV692" s="99"/>
      <c r="AW692" s="99"/>
      <c r="AX692" s="99"/>
      <c r="AY692" s="99"/>
      <c r="AZ692" s="99"/>
      <c r="BA692" s="99"/>
    </row>
    <row r="693" spans="1:53" ht="14.25" customHeight="1" x14ac:dyDescent="0.25">
      <c r="A693" s="124"/>
      <c r="B693" s="124"/>
      <c r="C693" s="124"/>
      <c r="D693" s="158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99"/>
      <c r="AG693" s="99"/>
      <c r="AH693" s="99"/>
      <c r="AI693" s="99"/>
      <c r="AJ693" s="99"/>
      <c r="AK693" s="99"/>
      <c r="AL693" s="99"/>
      <c r="AM693" s="99"/>
      <c r="AN693" s="99"/>
      <c r="AO693" s="99"/>
      <c r="AP693" s="99"/>
      <c r="AQ693" s="99"/>
      <c r="AR693" s="99"/>
      <c r="AS693" s="99"/>
      <c r="AT693" s="99"/>
      <c r="AU693" s="99"/>
      <c r="AV693" s="99"/>
      <c r="AW693" s="99"/>
      <c r="AX693" s="99"/>
      <c r="AY693" s="99"/>
      <c r="AZ693" s="99"/>
      <c r="BA693" s="99"/>
    </row>
    <row r="694" spans="1:53" ht="14.25" customHeight="1" x14ac:dyDescent="0.25">
      <c r="A694" s="124"/>
      <c r="B694" s="124"/>
      <c r="C694" s="124"/>
      <c r="D694" s="158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99"/>
      <c r="AG694" s="99"/>
      <c r="AH694" s="99"/>
      <c r="AI694" s="99"/>
      <c r="AJ694" s="99"/>
      <c r="AK694" s="99"/>
      <c r="AL694" s="99"/>
      <c r="AM694" s="99"/>
      <c r="AN694" s="99"/>
      <c r="AO694" s="99"/>
      <c r="AP694" s="99"/>
      <c r="AQ694" s="99"/>
      <c r="AR694" s="99"/>
      <c r="AS694" s="99"/>
      <c r="AT694" s="99"/>
      <c r="AU694" s="99"/>
      <c r="AV694" s="99"/>
      <c r="AW694" s="99"/>
      <c r="AX694" s="99"/>
      <c r="AY694" s="99"/>
      <c r="AZ694" s="99"/>
      <c r="BA694" s="99"/>
    </row>
    <row r="695" spans="1:53" ht="14.25" customHeight="1" x14ac:dyDescent="0.25">
      <c r="A695" s="124"/>
      <c r="B695" s="124"/>
      <c r="C695" s="124"/>
      <c r="D695" s="158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99"/>
      <c r="AG695" s="99"/>
      <c r="AH695" s="99"/>
      <c r="AI695" s="99"/>
      <c r="AJ695" s="99"/>
      <c r="AK695" s="99"/>
      <c r="AL695" s="99"/>
      <c r="AM695" s="99"/>
      <c r="AN695" s="99"/>
      <c r="AO695" s="99"/>
      <c r="AP695" s="99"/>
      <c r="AQ695" s="99"/>
      <c r="AR695" s="99"/>
      <c r="AS695" s="99"/>
      <c r="AT695" s="99"/>
      <c r="AU695" s="99"/>
      <c r="AV695" s="99"/>
      <c r="AW695" s="99"/>
      <c r="AX695" s="99"/>
      <c r="AY695" s="99"/>
      <c r="AZ695" s="99"/>
      <c r="BA695" s="99"/>
    </row>
    <row r="696" spans="1:53" ht="14.25" customHeight="1" x14ac:dyDescent="0.25">
      <c r="A696" s="124"/>
      <c r="B696" s="124"/>
      <c r="C696" s="124"/>
      <c r="D696" s="158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99"/>
      <c r="AG696" s="99"/>
      <c r="AH696" s="99"/>
      <c r="AI696" s="99"/>
      <c r="AJ696" s="99"/>
      <c r="AK696" s="99"/>
      <c r="AL696" s="99"/>
      <c r="AM696" s="99"/>
      <c r="AN696" s="99"/>
      <c r="AO696" s="99"/>
      <c r="AP696" s="99"/>
      <c r="AQ696" s="99"/>
      <c r="AR696" s="99"/>
      <c r="AS696" s="99"/>
      <c r="AT696" s="99"/>
      <c r="AU696" s="99"/>
      <c r="AV696" s="99"/>
      <c r="AW696" s="99"/>
      <c r="AX696" s="99"/>
      <c r="AY696" s="99"/>
      <c r="AZ696" s="99"/>
      <c r="BA696" s="99"/>
    </row>
    <row r="697" spans="1:53" ht="14.25" customHeight="1" x14ac:dyDescent="0.25">
      <c r="A697" s="124"/>
      <c r="B697" s="124"/>
      <c r="C697" s="124"/>
      <c r="D697" s="158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99"/>
      <c r="AG697" s="99"/>
      <c r="AH697" s="99"/>
      <c r="AI697" s="99"/>
      <c r="AJ697" s="99"/>
      <c r="AK697" s="99"/>
      <c r="AL697" s="99"/>
      <c r="AM697" s="99"/>
      <c r="AN697" s="99"/>
      <c r="AO697" s="99"/>
      <c r="AP697" s="99"/>
      <c r="AQ697" s="99"/>
      <c r="AR697" s="99"/>
      <c r="AS697" s="99"/>
      <c r="AT697" s="99"/>
      <c r="AU697" s="99"/>
      <c r="AV697" s="99"/>
      <c r="AW697" s="99"/>
      <c r="AX697" s="99"/>
      <c r="AY697" s="99"/>
      <c r="AZ697" s="99"/>
      <c r="BA697" s="99"/>
    </row>
    <row r="698" spans="1:53" ht="14.25" customHeight="1" x14ac:dyDescent="0.25">
      <c r="A698" s="124"/>
      <c r="B698" s="124"/>
      <c r="C698" s="124"/>
      <c r="D698" s="158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99"/>
      <c r="AG698" s="99"/>
      <c r="AH698" s="99"/>
      <c r="AI698" s="99"/>
      <c r="AJ698" s="99"/>
      <c r="AK698" s="99"/>
      <c r="AL698" s="99"/>
      <c r="AM698" s="99"/>
      <c r="AN698" s="99"/>
      <c r="AO698" s="99"/>
      <c r="AP698" s="99"/>
      <c r="AQ698" s="99"/>
      <c r="AR698" s="99"/>
      <c r="AS698" s="99"/>
      <c r="AT698" s="99"/>
      <c r="AU698" s="99"/>
      <c r="AV698" s="99"/>
      <c r="AW698" s="99"/>
      <c r="AX698" s="99"/>
      <c r="AY698" s="99"/>
      <c r="AZ698" s="99"/>
      <c r="BA698" s="99"/>
    </row>
    <row r="699" spans="1:53" ht="14.25" customHeight="1" x14ac:dyDescent="0.25">
      <c r="A699" s="124"/>
      <c r="B699" s="124"/>
      <c r="C699" s="124"/>
      <c r="D699" s="158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99"/>
      <c r="AG699" s="99"/>
      <c r="AH699" s="99"/>
      <c r="AI699" s="99"/>
      <c r="AJ699" s="99"/>
      <c r="AK699" s="99"/>
      <c r="AL699" s="99"/>
      <c r="AM699" s="99"/>
      <c r="AN699" s="99"/>
      <c r="AO699" s="99"/>
      <c r="AP699" s="99"/>
      <c r="AQ699" s="99"/>
      <c r="AR699" s="99"/>
      <c r="AS699" s="99"/>
      <c r="AT699" s="99"/>
      <c r="AU699" s="99"/>
      <c r="AV699" s="99"/>
      <c r="AW699" s="99"/>
      <c r="AX699" s="99"/>
      <c r="AY699" s="99"/>
      <c r="AZ699" s="99"/>
      <c r="BA699" s="99"/>
    </row>
    <row r="700" spans="1:53" ht="14.25" customHeight="1" x14ac:dyDescent="0.25">
      <c r="A700" s="124"/>
      <c r="B700" s="124"/>
      <c r="C700" s="124"/>
      <c r="D700" s="158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99"/>
      <c r="AG700" s="99"/>
      <c r="AH700" s="99"/>
      <c r="AI700" s="99"/>
      <c r="AJ700" s="99"/>
      <c r="AK700" s="99"/>
      <c r="AL700" s="99"/>
      <c r="AM700" s="99"/>
      <c r="AN700" s="99"/>
      <c r="AO700" s="99"/>
      <c r="AP700" s="99"/>
      <c r="AQ700" s="99"/>
      <c r="AR700" s="99"/>
      <c r="AS700" s="99"/>
      <c r="AT700" s="99"/>
      <c r="AU700" s="99"/>
      <c r="AV700" s="99"/>
      <c r="AW700" s="99"/>
      <c r="AX700" s="99"/>
      <c r="AY700" s="99"/>
      <c r="AZ700" s="99"/>
      <c r="BA700" s="99"/>
    </row>
    <row r="701" spans="1:53" ht="14.25" customHeight="1" x14ac:dyDescent="0.25">
      <c r="A701" s="124"/>
      <c r="B701" s="124"/>
      <c r="C701" s="124"/>
      <c r="D701" s="158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99"/>
      <c r="AG701" s="99"/>
      <c r="AH701" s="99"/>
      <c r="AI701" s="99"/>
      <c r="AJ701" s="99"/>
      <c r="AK701" s="99"/>
      <c r="AL701" s="99"/>
      <c r="AM701" s="99"/>
      <c r="AN701" s="99"/>
      <c r="AO701" s="99"/>
      <c r="AP701" s="99"/>
      <c r="AQ701" s="99"/>
      <c r="AR701" s="99"/>
      <c r="AS701" s="99"/>
      <c r="AT701" s="99"/>
      <c r="AU701" s="99"/>
      <c r="AV701" s="99"/>
      <c r="AW701" s="99"/>
      <c r="AX701" s="99"/>
      <c r="AY701" s="99"/>
      <c r="AZ701" s="99"/>
      <c r="BA701" s="99"/>
    </row>
    <row r="702" spans="1:53" ht="14.25" customHeight="1" x14ac:dyDescent="0.25">
      <c r="A702" s="124"/>
      <c r="B702" s="124"/>
      <c r="C702" s="124"/>
      <c r="D702" s="158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99"/>
      <c r="AG702" s="99"/>
      <c r="AH702" s="99"/>
      <c r="AI702" s="99"/>
      <c r="AJ702" s="99"/>
      <c r="AK702" s="99"/>
      <c r="AL702" s="99"/>
      <c r="AM702" s="99"/>
      <c r="AN702" s="99"/>
      <c r="AO702" s="99"/>
      <c r="AP702" s="99"/>
      <c r="AQ702" s="99"/>
      <c r="AR702" s="99"/>
      <c r="AS702" s="99"/>
      <c r="AT702" s="99"/>
      <c r="AU702" s="99"/>
      <c r="AV702" s="99"/>
      <c r="AW702" s="99"/>
      <c r="AX702" s="99"/>
      <c r="AY702" s="99"/>
      <c r="AZ702" s="99"/>
      <c r="BA702" s="99"/>
    </row>
    <row r="703" spans="1:53" ht="14.25" customHeight="1" x14ac:dyDescent="0.25">
      <c r="A703" s="124"/>
      <c r="B703" s="124"/>
      <c r="C703" s="124"/>
      <c r="D703" s="158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99"/>
      <c r="AG703" s="99"/>
      <c r="AH703" s="99"/>
      <c r="AI703" s="99"/>
      <c r="AJ703" s="99"/>
      <c r="AK703" s="99"/>
      <c r="AL703" s="99"/>
      <c r="AM703" s="99"/>
      <c r="AN703" s="99"/>
      <c r="AO703" s="99"/>
      <c r="AP703" s="99"/>
      <c r="AQ703" s="99"/>
      <c r="AR703" s="99"/>
      <c r="AS703" s="99"/>
      <c r="AT703" s="99"/>
      <c r="AU703" s="99"/>
      <c r="AV703" s="99"/>
      <c r="AW703" s="99"/>
      <c r="AX703" s="99"/>
      <c r="AY703" s="99"/>
      <c r="AZ703" s="99"/>
      <c r="BA703" s="99"/>
    </row>
    <row r="704" spans="1:53" ht="14.25" customHeight="1" x14ac:dyDescent="0.25">
      <c r="A704" s="124"/>
      <c r="B704" s="124"/>
      <c r="C704" s="124"/>
      <c r="D704" s="158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99"/>
      <c r="AG704" s="99"/>
      <c r="AH704" s="99"/>
      <c r="AI704" s="99"/>
      <c r="AJ704" s="99"/>
      <c r="AK704" s="99"/>
      <c r="AL704" s="99"/>
      <c r="AM704" s="99"/>
      <c r="AN704" s="99"/>
      <c r="AO704" s="99"/>
      <c r="AP704" s="99"/>
      <c r="AQ704" s="99"/>
      <c r="AR704" s="99"/>
      <c r="AS704" s="99"/>
      <c r="AT704" s="99"/>
      <c r="AU704" s="99"/>
      <c r="AV704" s="99"/>
      <c r="AW704" s="99"/>
      <c r="AX704" s="99"/>
      <c r="AY704" s="99"/>
      <c r="AZ704" s="99"/>
      <c r="BA704" s="99"/>
    </row>
    <row r="705" spans="1:53" ht="14.25" customHeight="1" x14ac:dyDescent="0.25">
      <c r="A705" s="124"/>
      <c r="B705" s="124"/>
      <c r="C705" s="124"/>
      <c r="D705" s="158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99"/>
      <c r="AG705" s="99"/>
      <c r="AH705" s="99"/>
      <c r="AI705" s="99"/>
      <c r="AJ705" s="99"/>
      <c r="AK705" s="99"/>
      <c r="AL705" s="99"/>
      <c r="AM705" s="99"/>
      <c r="AN705" s="99"/>
      <c r="AO705" s="99"/>
      <c r="AP705" s="99"/>
      <c r="AQ705" s="99"/>
      <c r="AR705" s="99"/>
      <c r="AS705" s="99"/>
      <c r="AT705" s="99"/>
      <c r="AU705" s="99"/>
      <c r="AV705" s="99"/>
      <c r="AW705" s="99"/>
      <c r="AX705" s="99"/>
      <c r="AY705" s="99"/>
      <c r="AZ705" s="99"/>
      <c r="BA705" s="99"/>
    </row>
    <row r="706" spans="1:53" ht="14.25" customHeight="1" x14ac:dyDescent="0.25">
      <c r="A706" s="124"/>
      <c r="B706" s="124"/>
      <c r="C706" s="124"/>
      <c r="D706" s="158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  <c r="AF706" s="99"/>
      <c r="AG706" s="99"/>
      <c r="AH706" s="99"/>
      <c r="AI706" s="99"/>
      <c r="AJ706" s="99"/>
      <c r="AK706" s="99"/>
      <c r="AL706" s="99"/>
      <c r="AM706" s="99"/>
      <c r="AN706" s="99"/>
      <c r="AO706" s="99"/>
      <c r="AP706" s="99"/>
      <c r="AQ706" s="99"/>
      <c r="AR706" s="99"/>
      <c r="AS706" s="99"/>
      <c r="AT706" s="99"/>
      <c r="AU706" s="99"/>
      <c r="AV706" s="99"/>
      <c r="AW706" s="99"/>
      <c r="AX706" s="99"/>
      <c r="AY706" s="99"/>
      <c r="AZ706" s="99"/>
      <c r="BA706" s="99"/>
    </row>
    <row r="707" spans="1:53" ht="14.25" customHeight="1" x14ac:dyDescent="0.25">
      <c r="A707" s="124"/>
      <c r="B707" s="124"/>
      <c r="C707" s="124"/>
      <c r="D707" s="158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99"/>
      <c r="AG707" s="99"/>
      <c r="AH707" s="99"/>
      <c r="AI707" s="99"/>
      <c r="AJ707" s="99"/>
      <c r="AK707" s="99"/>
      <c r="AL707" s="99"/>
      <c r="AM707" s="99"/>
      <c r="AN707" s="99"/>
      <c r="AO707" s="99"/>
      <c r="AP707" s="99"/>
      <c r="AQ707" s="99"/>
      <c r="AR707" s="99"/>
      <c r="AS707" s="99"/>
      <c r="AT707" s="99"/>
      <c r="AU707" s="99"/>
      <c r="AV707" s="99"/>
      <c r="AW707" s="99"/>
      <c r="AX707" s="99"/>
      <c r="AY707" s="99"/>
      <c r="AZ707" s="99"/>
      <c r="BA707" s="99"/>
    </row>
    <row r="708" spans="1:53" ht="14.25" customHeight="1" x14ac:dyDescent="0.25">
      <c r="A708" s="124"/>
      <c r="B708" s="124"/>
      <c r="C708" s="124"/>
      <c r="D708" s="158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  <c r="AE708" s="99"/>
      <c r="AF708" s="99"/>
      <c r="AG708" s="99"/>
      <c r="AH708" s="99"/>
      <c r="AI708" s="99"/>
      <c r="AJ708" s="99"/>
      <c r="AK708" s="99"/>
      <c r="AL708" s="99"/>
      <c r="AM708" s="99"/>
      <c r="AN708" s="99"/>
      <c r="AO708" s="99"/>
      <c r="AP708" s="99"/>
      <c r="AQ708" s="99"/>
      <c r="AR708" s="99"/>
      <c r="AS708" s="99"/>
      <c r="AT708" s="99"/>
      <c r="AU708" s="99"/>
      <c r="AV708" s="99"/>
      <c r="AW708" s="99"/>
      <c r="AX708" s="99"/>
      <c r="AY708" s="99"/>
      <c r="AZ708" s="99"/>
      <c r="BA708" s="99"/>
    </row>
    <row r="709" spans="1:53" ht="14.25" customHeight="1" x14ac:dyDescent="0.25">
      <c r="A709" s="124"/>
      <c r="B709" s="124"/>
      <c r="C709" s="124"/>
      <c r="D709" s="158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99"/>
      <c r="AG709" s="99"/>
      <c r="AH709" s="99"/>
      <c r="AI709" s="99"/>
      <c r="AJ709" s="99"/>
      <c r="AK709" s="99"/>
      <c r="AL709" s="99"/>
      <c r="AM709" s="99"/>
      <c r="AN709" s="99"/>
      <c r="AO709" s="99"/>
      <c r="AP709" s="99"/>
      <c r="AQ709" s="99"/>
      <c r="AR709" s="99"/>
      <c r="AS709" s="99"/>
      <c r="AT709" s="99"/>
      <c r="AU709" s="99"/>
      <c r="AV709" s="99"/>
      <c r="AW709" s="99"/>
      <c r="AX709" s="99"/>
      <c r="AY709" s="99"/>
      <c r="AZ709" s="99"/>
      <c r="BA709" s="99"/>
    </row>
    <row r="710" spans="1:53" ht="14.25" customHeight="1" x14ac:dyDescent="0.25">
      <c r="A710" s="124"/>
      <c r="B710" s="124"/>
      <c r="C710" s="124"/>
      <c r="D710" s="158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99"/>
      <c r="AG710" s="99"/>
      <c r="AH710" s="99"/>
      <c r="AI710" s="99"/>
      <c r="AJ710" s="99"/>
      <c r="AK710" s="99"/>
      <c r="AL710" s="99"/>
      <c r="AM710" s="99"/>
      <c r="AN710" s="99"/>
      <c r="AO710" s="99"/>
      <c r="AP710" s="99"/>
      <c r="AQ710" s="99"/>
      <c r="AR710" s="99"/>
      <c r="AS710" s="99"/>
      <c r="AT710" s="99"/>
      <c r="AU710" s="99"/>
      <c r="AV710" s="99"/>
      <c r="AW710" s="99"/>
      <c r="AX710" s="99"/>
      <c r="AY710" s="99"/>
      <c r="AZ710" s="99"/>
      <c r="BA710" s="99"/>
    </row>
    <row r="711" spans="1:53" ht="14.25" customHeight="1" x14ac:dyDescent="0.25">
      <c r="A711" s="124"/>
      <c r="B711" s="124"/>
      <c r="C711" s="124"/>
      <c r="D711" s="158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99"/>
      <c r="AG711" s="99"/>
      <c r="AH711" s="99"/>
      <c r="AI711" s="99"/>
      <c r="AJ711" s="99"/>
      <c r="AK711" s="99"/>
      <c r="AL711" s="99"/>
      <c r="AM711" s="99"/>
      <c r="AN711" s="99"/>
      <c r="AO711" s="99"/>
      <c r="AP711" s="99"/>
      <c r="AQ711" s="99"/>
      <c r="AR711" s="99"/>
      <c r="AS711" s="99"/>
      <c r="AT711" s="99"/>
      <c r="AU711" s="99"/>
      <c r="AV711" s="99"/>
      <c r="AW711" s="99"/>
      <c r="AX711" s="99"/>
      <c r="AY711" s="99"/>
      <c r="AZ711" s="99"/>
      <c r="BA711" s="99"/>
    </row>
    <row r="712" spans="1:53" ht="14.25" customHeight="1" x14ac:dyDescent="0.25">
      <c r="A712" s="124"/>
      <c r="B712" s="124"/>
      <c r="C712" s="124"/>
      <c r="D712" s="158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99"/>
      <c r="AG712" s="99"/>
      <c r="AH712" s="99"/>
      <c r="AI712" s="99"/>
      <c r="AJ712" s="99"/>
      <c r="AK712" s="99"/>
      <c r="AL712" s="99"/>
      <c r="AM712" s="99"/>
      <c r="AN712" s="99"/>
      <c r="AO712" s="99"/>
      <c r="AP712" s="99"/>
      <c r="AQ712" s="99"/>
      <c r="AR712" s="99"/>
      <c r="AS712" s="99"/>
      <c r="AT712" s="99"/>
      <c r="AU712" s="99"/>
      <c r="AV712" s="99"/>
      <c r="AW712" s="99"/>
      <c r="AX712" s="99"/>
      <c r="AY712" s="99"/>
      <c r="AZ712" s="99"/>
      <c r="BA712" s="99"/>
    </row>
    <row r="713" spans="1:53" ht="14.25" customHeight="1" x14ac:dyDescent="0.25">
      <c r="A713" s="124"/>
      <c r="B713" s="124"/>
      <c r="C713" s="124"/>
      <c r="D713" s="158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99"/>
      <c r="AG713" s="99"/>
      <c r="AH713" s="99"/>
      <c r="AI713" s="99"/>
      <c r="AJ713" s="99"/>
      <c r="AK713" s="99"/>
      <c r="AL713" s="99"/>
      <c r="AM713" s="99"/>
      <c r="AN713" s="99"/>
      <c r="AO713" s="99"/>
      <c r="AP713" s="99"/>
      <c r="AQ713" s="99"/>
      <c r="AR713" s="99"/>
      <c r="AS713" s="99"/>
      <c r="AT713" s="99"/>
      <c r="AU713" s="99"/>
      <c r="AV713" s="99"/>
      <c r="AW713" s="99"/>
      <c r="AX713" s="99"/>
      <c r="AY713" s="99"/>
      <c r="AZ713" s="99"/>
      <c r="BA713" s="99"/>
    </row>
    <row r="714" spans="1:53" ht="14.25" customHeight="1" x14ac:dyDescent="0.25">
      <c r="A714" s="124"/>
      <c r="B714" s="124"/>
      <c r="C714" s="124"/>
      <c r="D714" s="158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99"/>
      <c r="AG714" s="99"/>
      <c r="AH714" s="99"/>
      <c r="AI714" s="99"/>
      <c r="AJ714" s="99"/>
      <c r="AK714" s="99"/>
      <c r="AL714" s="99"/>
      <c r="AM714" s="99"/>
      <c r="AN714" s="99"/>
      <c r="AO714" s="99"/>
      <c r="AP714" s="99"/>
      <c r="AQ714" s="99"/>
      <c r="AR714" s="99"/>
      <c r="AS714" s="99"/>
      <c r="AT714" s="99"/>
      <c r="AU714" s="99"/>
      <c r="AV714" s="99"/>
      <c r="AW714" s="99"/>
      <c r="AX714" s="99"/>
      <c r="AY714" s="99"/>
      <c r="AZ714" s="99"/>
      <c r="BA714" s="99"/>
    </row>
    <row r="715" spans="1:53" ht="14.25" customHeight="1" x14ac:dyDescent="0.25">
      <c r="A715" s="124"/>
      <c r="B715" s="124"/>
      <c r="C715" s="124"/>
      <c r="D715" s="158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99"/>
      <c r="AG715" s="99"/>
      <c r="AH715" s="99"/>
      <c r="AI715" s="99"/>
      <c r="AJ715" s="99"/>
      <c r="AK715" s="99"/>
      <c r="AL715" s="99"/>
      <c r="AM715" s="99"/>
      <c r="AN715" s="99"/>
      <c r="AO715" s="99"/>
      <c r="AP715" s="99"/>
      <c r="AQ715" s="99"/>
      <c r="AR715" s="99"/>
      <c r="AS715" s="99"/>
      <c r="AT715" s="99"/>
      <c r="AU715" s="99"/>
      <c r="AV715" s="99"/>
      <c r="AW715" s="99"/>
      <c r="AX715" s="99"/>
      <c r="AY715" s="99"/>
      <c r="AZ715" s="99"/>
      <c r="BA715" s="99"/>
    </row>
    <row r="716" spans="1:53" ht="14.25" customHeight="1" x14ac:dyDescent="0.25">
      <c r="A716" s="124"/>
      <c r="B716" s="124"/>
      <c r="C716" s="124"/>
      <c r="D716" s="158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99"/>
      <c r="AG716" s="99"/>
      <c r="AH716" s="99"/>
      <c r="AI716" s="99"/>
      <c r="AJ716" s="99"/>
      <c r="AK716" s="99"/>
      <c r="AL716" s="99"/>
      <c r="AM716" s="99"/>
      <c r="AN716" s="99"/>
      <c r="AO716" s="99"/>
      <c r="AP716" s="99"/>
      <c r="AQ716" s="99"/>
      <c r="AR716" s="99"/>
      <c r="AS716" s="99"/>
      <c r="AT716" s="99"/>
      <c r="AU716" s="99"/>
      <c r="AV716" s="99"/>
      <c r="AW716" s="99"/>
      <c r="AX716" s="99"/>
      <c r="AY716" s="99"/>
      <c r="AZ716" s="99"/>
      <c r="BA716" s="99"/>
    </row>
    <row r="717" spans="1:53" ht="14.25" customHeight="1" x14ac:dyDescent="0.25">
      <c r="A717" s="124"/>
      <c r="B717" s="124"/>
      <c r="C717" s="124"/>
      <c r="D717" s="158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99"/>
      <c r="AG717" s="99"/>
      <c r="AH717" s="99"/>
      <c r="AI717" s="99"/>
      <c r="AJ717" s="99"/>
      <c r="AK717" s="99"/>
      <c r="AL717" s="99"/>
      <c r="AM717" s="99"/>
      <c r="AN717" s="99"/>
      <c r="AO717" s="99"/>
      <c r="AP717" s="99"/>
      <c r="AQ717" s="99"/>
      <c r="AR717" s="99"/>
      <c r="AS717" s="99"/>
      <c r="AT717" s="99"/>
      <c r="AU717" s="99"/>
      <c r="AV717" s="99"/>
      <c r="AW717" s="99"/>
      <c r="AX717" s="99"/>
      <c r="AY717" s="99"/>
      <c r="AZ717" s="99"/>
      <c r="BA717" s="99"/>
    </row>
    <row r="718" spans="1:53" ht="14.25" customHeight="1" x14ac:dyDescent="0.25">
      <c r="A718" s="124"/>
      <c r="B718" s="124"/>
      <c r="C718" s="124"/>
      <c r="D718" s="158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99"/>
      <c r="AG718" s="99"/>
      <c r="AH718" s="99"/>
      <c r="AI718" s="99"/>
      <c r="AJ718" s="99"/>
      <c r="AK718" s="99"/>
      <c r="AL718" s="99"/>
      <c r="AM718" s="99"/>
      <c r="AN718" s="99"/>
      <c r="AO718" s="99"/>
      <c r="AP718" s="99"/>
      <c r="AQ718" s="99"/>
      <c r="AR718" s="99"/>
      <c r="AS718" s="99"/>
      <c r="AT718" s="99"/>
      <c r="AU718" s="99"/>
      <c r="AV718" s="99"/>
      <c r="AW718" s="99"/>
      <c r="AX718" s="99"/>
      <c r="AY718" s="99"/>
      <c r="AZ718" s="99"/>
      <c r="BA718" s="99"/>
    </row>
    <row r="719" spans="1:53" ht="14.25" customHeight="1" x14ac:dyDescent="0.25">
      <c r="A719" s="124"/>
      <c r="B719" s="124"/>
      <c r="C719" s="124"/>
      <c r="D719" s="158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  <c r="AD719" s="99"/>
      <c r="AE719" s="99"/>
      <c r="AF719" s="99"/>
      <c r="AG719" s="99"/>
      <c r="AH719" s="99"/>
      <c r="AI719" s="99"/>
      <c r="AJ719" s="99"/>
      <c r="AK719" s="99"/>
      <c r="AL719" s="99"/>
      <c r="AM719" s="99"/>
      <c r="AN719" s="99"/>
      <c r="AO719" s="99"/>
      <c r="AP719" s="99"/>
      <c r="AQ719" s="99"/>
      <c r="AR719" s="99"/>
      <c r="AS719" s="99"/>
      <c r="AT719" s="99"/>
      <c r="AU719" s="99"/>
      <c r="AV719" s="99"/>
      <c r="AW719" s="99"/>
      <c r="AX719" s="99"/>
      <c r="AY719" s="99"/>
      <c r="AZ719" s="99"/>
      <c r="BA719" s="99"/>
    </row>
    <row r="720" spans="1:53" ht="14.25" customHeight="1" x14ac:dyDescent="0.25">
      <c r="A720" s="124"/>
      <c r="B720" s="124"/>
      <c r="C720" s="124"/>
      <c r="D720" s="158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99"/>
      <c r="AG720" s="99"/>
      <c r="AH720" s="99"/>
      <c r="AI720" s="99"/>
      <c r="AJ720" s="99"/>
      <c r="AK720" s="99"/>
      <c r="AL720" s="99"/>
      <c r="AM720" s="99"/>
      <c r="AN720" s="99"/>
      <c r="AO720" s="99"/>
      <c r="AP720" s="99"/>
      <c r="AQ720" s="99"/>
      <c r="AR720" s="99"/>
      <c r="AS720" s="99"/>
      <c r="AT720" s="99"/>
      <c r="AU720" s="99"/>
      <c r="AV720" s="99"/>
      <c r="AW720" s="99"/>
      <c r="AX720" s="99"/>
      <c r="AY720" s="99"/>
      <c r="AZ720" s="99"/>
      <c r="BA720" s="99"/>
    </row>
    <row r="721" spans="1:53" ht="14.25" customHeight="1" x14ac:dyDescent="0.25">
      <c r="A721" s="124"/>
      <c r="B721" s="124"/>
      <c r="C721" s="124"/>
      <c r="D721" s="158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  <c r="AE721" s="99"/>
      <c r="AF721" s="99"/>
      <c r="AG721" s="99"/>
      <c r="AH721" s="99"/>
      <c r="AI721" s="99"/>
      <c r="AJ721" s="99"/>
      <c r="AK721" s="99"/>
      <c r="AL721" s="99"/>
      <c r="AM721" s="99"/>
      <c r="AN721" s="99"/>
      <c r="AO721" s="99"/>
      <c r="AP721" s="99"/>
      <c r="AQ721" s="99"/>
      <c r="AR721" s="99"/>
      <c r="AS721" s="99"/>
      <c r="AT721" s="99"/>
      <c r="AU721" s="99"/>
      <c r="AV721" s="99"/>
      <c r="AW721" s="99"/>
      <c r="AX721" s="99"/>
      <c r="AY721" s="99"/>
      <c r="AZ721" s="99"/>
      <c r="BA721" s="99"/>
    </row>
    <row r="722" spans="1:53" ht="14.25" customHeight="1" x14ac:dyDescent="0.25">
      <c r="A722" s="124"/>
      <c r="B722" s="124"/>
      <c r="C722" s="124"/>
      <c r="D722" s="158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99"/>
      <c r="AG722" s="99"/>
      <c r="AH722" s="99"/>
      <c r="AI722" s="99"/>
      <c r="AJ722" s="99"/>
      <c r="AK722" s="99"/>
      <c r="AL722" s="99"/>
      <c r="AM722" s="99"/>
      <c r="AN722" s="99"/>
      <c r="AO722" s="99"/>
      <c r="AP722" s="99"/>
      <c r="AQ722" s="99"/>
      <c r="AR722" s="99"/>
      <c r="AS722" s="99"/>
      <c r="AT722" s="99"/>
      <c r="AU722" s="99"/>
      <c r="AV722" s="99"/>
      <c r="AW722" s="99"/>
      <c r="AX722" s="99"/>
      <c r="AY722" s="99"/>
      <c r="AZ722" s="99"/>
      <c r="BA722" s="99"/>
    </row>
    <row r="723" spans="1:53" ht="14.25" customHeight="1" x14ac:dyDescent="0.25">
      <c r="A723" s="124"/>
      <c r="B723" s="124"/>
      <c r="C723" s="124"/>
      <c r="D723" s="158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99"/>
      <c r="AG723" s="99"/>
      <c r="AH723" s="99"/>
      <c r="AI723" s="99"/>
      <c r="AJ723" s="99"/>
      <c r="AK723" s="99"/>
      <c r="AL723" s="99"/>
      <c r="AM723" s="99"/>
      <c r="AN723" s="99"/>
      <c r="AO723" s="99"/>
      <c r="AP723" s="99"/>
      <c r="AQ723" s="99"/>
      <c r="AR723" s="99"/>
      <c r="AS723" s="99"/>
      <c r="AT723" s="99"/>
      <c r="AU723" s="99"/>
      <c r="AV723" s="99"/>
      <c r="AW723" s="99"/>
      <c r="AX723" s="99"/>
      <c r="AY723" s="99"/>
      <c r="AZ723" s="99"/>
      <c r="BA723" s="99"/>
    </row>
    <row r="724" spans="1:53" ht="14.25" customHeight="1" x14ac:dyDescent="0.25">
      <c r="A724" s="124"/>
      <c r="B724" s="124"/>
      <c r="C724" s="124"/>
      <c r="D724" s="158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99"/>
      <c r="AG724" s="99"/>
      <c r="AH724" s="99"/>
      <c r="AI724" s="99"/>
      <c r="AJ724" s="99"/>
      <c r="AK724" s="99"/>
      <c r="AL724" s="99"/>
      <c r="AM724" s="99"/>
      <c r="AN724" s="99"/>
      <c r="AO724" s="99"/>
      <c r="AP724" s="99"/>
      <c r="AQ724" s="99"/>
      <c r="AR724" s="99"/>
      <c r="AS724" s="99"/>
      <c r="AT724" s="99"/>
      <c r="AU724" s="99"/>
      <c r="AV724" s="99"/>
      <c r="AW724" s="99"/>
      <c r="AX724" s="99"/>
      <c r="AY724" s="99"/>
      <c r="AZ724" s="99"/>
      <c r="BA724" s="99"/>
    </row>
    <row r="725" spans="1:53" ht="14.25" customHeight="1" x14ac:dyDescent="0.25">
      <c r="A725" s="124"/>
      <c r="B725" s="124"/>
      <c r="C725" s="124"/>
      <c r="D725" s="158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99"/>
      <c r="AG725" s="99"/>
      <c r="AH725" s="99"/>
      <c r="AI725" s="99"/>
      <c r="AJ725" s="99"/>
      <c r="AK725" s="99"/>
      <c r="AL725" s="99"/>
      <c r="AM725" s="99"/>
      <c r="AN725" s="99"/>
      <c r="AO725" s="99"/>
      <c r="AP725" s="99"/>
      <c r="AQ725" s="99"/>
      <c r="AR725" s="99"/>
      <c r="AS725" s="99"/>
      <c r="AT725" s="99"/>
      <c r="AU725" s="99"/>
      <c r="AV725" s="99"/>
      <c r="AW725" s="99"/>
      <c r="AX725" s="99"/>
      <c r="AY725" s="99"/>
      <c r="AZ725" s="99"/>
      <c r="BA725" s="99"/>
    </row>
    <row r="726" spans="1:53" ht="14.25" customHeight="1" x14ac:dyDescent="0.25">
      <c r="A726" s="124"/>
      <c r="B726" s="124"/>
      <c r="C726" s="124"/>
      <c r="D726" s="158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  <c r="AK726" s="99"/>
      <c r="AL726" s="99"/>
      <c r="AM726" s="99"/>
      <c r="AN726" s="99"/>
      <c r="AO726" s="99"/>
      <c r="AP726" s="99"/>
      <c r="AQ726" s="99"/>
      <c r="AR726" s="99"/>
      <c r="AS726" s="99"/>
      <c r="AT726" s="99"/>
      <c r="AU726" s="99"/>
      <c r="AV726" s="99"/>
      <c r="AW726" s="99"/>
      <c r="AX726" s="99"/>
      <c r="AY726" s="99"/>
      <c r="AZ726" s="99"/>
      <c r="BA726" s="99"/>
    </row>
    <row r="727" spans="1:53" ht="14.25" customHeight="1" x14ac:dyDescent="0.25">
      <c r="A727" s="124"/>
      <c r="B727" s="124"/>
      <c r="C727" s="124"/>
      <c r="D727" s="158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99"/>
      <c r="AG727" s="99"/>
      <c r="AH727" s="99"/>
      <c r="AI727" s="99"/>
      <c r="AJ727" s="99"/>
      <c r="AK727" s="99"/>
      <c r="AL727" s="99"/>
      <c r="AM727" s="99"/>
      <c r="AN727" s="99"/>
      <c r="AO727" s="99"/>
      <c r="AP727" s="99"/>
      <c r="AQ727" s="99"/>
      <c r="AR727" s="99"/>
      <c r="AS727" s="99"/>
      <c r="AT727" s="99"/>
      <c r="AU727" s="99"/>
      <c r="AV727" s="99"/>
      <c r="AW727" s="99"/>
      <c r="AX727" s="99"/>
      <c r="AY727" s="99"/>
      <c r="AZ727" s="99"/>
      <c r="BA727" s="99"/>
    </row>
    <row r="728" spans="1:53" ht="14.25" customHeight="1" x14ac:dyDescent="0.25">
      <c r="A728" s="124"/>
      <c r="B728" s="124"/>
      <c r="C728" s="124"/>
      <c r="D728" s="158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99"/>
      <c r="AG728" s="99"/>
      <c r="AH728" s="99"/>
      <c r="AI728" s="99"/>
      <c r="AJ728" s="99"/>
      <c r="AK728" s="99"/>
      <c r="AL728" s="99"/>
      <c r="AM728" s="99"/>
      <c r="AN728" s="99"/>
      <c r="AO728" s="99"/>
      <c r="AP728" s="99"/>
      <c r="AQ728" s="99"/>
      <c r="AR728" s="99"/>
      <c r="AS728" s="99"/>
      <c r="AT728" s="99"/>
      <c r="AU728" s="99"/>
      <c r="AV728" s="99"/>
      <c r="AW728" s="99"/>
      <c r="AX728" s="99"/>
      <c r="AY728" s="99"/>
      <c r="AZ728" s="99"/>
      <c r="BA728" s="99"/>
    </row>
    <row r="729" spans="1:53" ht="14.25" customHeight="1" x14ac:dyDescent="0.25">
      <c r="A729" s="124"/>
      <c r="B729" s="124"/>
      <c r="C729" s="124"/>
      <c r="D729" s="158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99"/>
      <c r="AG729" s="99"/>
      <c r="AH729" s="99"/>
      <c r="AI729" s="99"/>
      <c r="AJ729" s="99"/>
      <c r="AK729" s="99"/>
      <c r="AL729" s="99"/>
      <c r="AM729" s="99"/>
      <c r="AN729" s="99"/>
      <c r="AO729" s="99"/>
      <c r="AP729" s="99"/>
      <c r="AQ729" s="99"/>
      <c r="AR729" s="99"/>
      <c r="AS729" s="99"/>
      <c r="AT729" s="99"/>
      <c r="AU729" s="99"/>
      <c r="AV729" s="99"/>
      <c r="AW729" s="99"/>
      <c r="AX729" s="99"/>
      <c r="AY729" s="99"/>
      <c r="AZ729" s="99"/>
      <c r="BA729" s="99"/>
    </row>
    <row r="730" spans="1:53" ht="14.25" customHeight="1" x14ac:dyDescent="0.25">
      <c r="A730" s="124"/>
      <c r="B730" s="124"/>
      <c r="C730" s="124"/>
      <c r="D730" s="158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99"/>
      <c r="AG730" s="99"/>
      <c r="AH730" s="99"/>
      <c r="AI730" s="99"/>
      <c r="AJ730" s="99"/>
      <c r="AK730" s="99"/>
      <c r="AL730" s="99"/>
      <c r="AM730" s="99"/>
      <c r="AN730" s="99"/>
      <c r="AO730" s="99"/>
      <c r="AP730" s="99"/>
      <c r="AQ730" s="99"/>
      <c r="AR730" s="99"/>
      <c r="AS730" s="99"/>
      <c r="AT730" s="99"/>
      <c r="AU730" s="99"/>
      <c r="AV730" s="99"/>
      <c r="AW730" s="99"/>
      <c r="AX730" s="99"/>
      <c r="AY730" s="99"/>
      <c r="AZ730" s="99"/>
      <c r="BA730" s="99"/>
    </row>
    <row r="731" spans="1:53" ht="14.25" customHeight="1" x14ac:dyDescent="0.25">
      <c r="A731" s="124"/>
      <c r="B731" s="124"/>
      <c r="C731" s="124"/>
      <c r="D731" s="158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99"/>
      <c r="AG731" s="99"/>
      <c r="AH731" s="99"/>
      <c r="AI731" s="99"/>
      <c r="AJ731" s="99"/>
      <c r="AK731" s="99"/>
      <c r="AL731" s="99"/>
      <c r="AM731" s="99"/>
      <c r="AN731" s="99"/>
      <c r="AO731" s="99"/>
      <c r="AP731" s="99"/>
      <c r="AQ731" s="99"/>
      <c r="AR731" s="99"/>
      <c r="AS731" s="99"/>
      <c r="AT731" s="99"/>
      <c r="AU731" s="99"/>
      <c r="AV731" s="99"/>
      <c r="AW731" s="99"/>
      <c r="AX731" s="99"/>
      <c r="AY731" s="99"/>
      <c r="AZ731" s="99"/>
      <c r="BA731" s="99"/>
    </row>
    <row r="732" spans="1:53" ht="14.25" customHeight="1" x14ac:dyDescent="0.25">
      <c r="A732" s="124"/>
      <c r="B732" s="124"/>
      <c r="C732" s="124"/>
      <c r="D732" s="158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99"/>
      <c r="AG732" s="99"/>
      <c r="AH732" s="99"/>
      <c r="AI732" s="99"/>
      <c r="AJ732" s="99"/>
      <c r="AK732" s="99"/>
      <c r="AL732" s="99"/>
      <c r="AM732" s="99"/>
      <c r="AN732" s="99"/>
      <c r="AO732" s="99"/>
      <c r="AP732" s="99"/>
      <c r="AQ732" s="99"/>
      <c r="AR732" s="99"/>
      <c r="AS732" s="99"/>
      <c r="AT732" s="99"/>
      <c r="AU732" s="99"/>
      <c r="AV732" s="99"/>
      <c r="AW732" s="99"/>
      <c r="AX732" s="99"/>
      <c r="AY732" s="99"/>
      <c r="AZ732" s="99"/>
      <c r="BA732" s="99"/>
    </row>
    <row r="733" spans="1:53" ht="14.25" customHeight="1" x14ac:dyDescent="0.25">
      <c r="A733" s="124"/>
      <c r="B733" s="124"/>
      <c r="C733" s="124"/>
      <c r="D733" s="158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99"/>
      <c r="AG733" s="99"/>
      <c r="AH733" s="99"/>
      <c r="AI733" s="99"/>
      <c r="AJ733" s="99"/>
      <c r="AK733" s="99"/>
      <c r="AL733" s="99"/>
      <c r="AM733" s="99"/>
      <c r="AN733" s="99"/>
      <c r="AO733" s="99"/>
      <c r="AP733" s="99"/>
      <c r="AQ733" s="99"/>
      <c r="AR733" s="99"/>
      <c r="AS733" s="99"/>
      <c r="AT733" s="99"/>
      <c r="AU733" s="99"/>
      <c r="AV733" s="99"/>
      <c r="AW733" s="99"/>
      <c r="AX733" s="99"/>
      <c r="AY733" s="99"/>
      <c r="AZ733" s="99"/>
      <c r="BA733" s="99"/>
    </row>
    <row r="734" spans="1:53" ht="14.25" customHeight="1" x14ac:dyDescent="0.25">
      <c r="A734" s="124"/>
      <c r="B734" s="124"/>
      <c r="C734" s="124"/>
      <c r="D734" s="158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99"/>
      <c r="AG734" s="99"/>
      <c r="AH734" s="99"/>
      <c r="AI734" s="99"/>
      <c r="AJ734" s="99"/>
      <c r="AK734" s="99"/>
      <c r="AL734" s="99"/>
      <c r="AM734" s="99"/>
      <c r="AN734" s="99"/>
      <c r="AO734" s="99"/>
      <c r="AP734" s="99"/>
      <c r="AQ734" s="99"/>
      <c r="AR734" s="99"/>
      <c r="AS734" s="99"/>
      <c r="AT734" s="99"/>
      <c r="AU734" s="99"/>
      <c r="AV734" s="99"/>
      <c r="AW734" s="99"/>
      <c r="AX734" s="99"/>
      <c r="AY734" s="99"/>
      <c r="AZ734" s="99"/>
      <c r="BA734" s="99"/>
    </row>
    <row r="735" spans="1:53" ht="14.25" customHeight="1" x14ac:dyDescent="0.25">
      <c r="A735" s="124"/>
      <c r="B735" s="124"/>
      <c r="C735" s="124"/>
      <c r="D735" s="158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99"/>
      <c r="AG735" s="99"/>
      <c r="AH735" s="99"/>
      <c r="AI735" s="99"/>
      <c r="AJ735" s="99"/>
      <c r="AK735" s="99"/>
      <c r="AL735" s="99"/>
      <c r="AM735" s="99"/>
      <c r="AN735" s="99"/>
      <c r="AO735" s="99"/>
      <c r="AP735" s="99"/>
      <c r="AQ735" s="99"/>
      <c r="AR735" s="99"/>
      <c r="AS735" s="99"/>
      <c r="AT735" s="99"/>
      <c r="AU735" s="99"/>
      <c r="AV735" s="99"/>
      <c r="AW735" s="99"/>
      <c r="AX735" s="99"/>
      <c r="AY735" s="99"/>
      <c r="AZ735" s="99"/>
      <c r="BA735" s="99"/>
    </row>
    <row r="736" spans="1:53" ht="14.25" customHeight="1" x14ac:dyDescent="0.25">
      <c r="A736" s="124"/>
      <c r="B736" s="124"/>
      <c r="C736" s="124"/>
      <c r="D736" s="158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99"/>
      <c r="AG736" s="99"/>
      <c r="AH736" s="99"/>
      <c r="AI736" s="99"/>
      <c r="AJ736" s="99"/>
      <c r="AK736" s="99"/>
      <c r="AL736" s="99"/>
      <c r="AM736" s="99"/>
      <c r="AN736" s="99"/>
      <c r="AO736" s="99"/>
      <c r="AP736" s="99"/>
      <c r="AQ736" s="99"/>
      <c r="AR736" s="99"/>
      <c r="AS736" s="99"/>
      <c r="AT736" s="99"/>
      <c r="AU736" s="99"/>
      <c r="AV736" s="99"/>
      <c r="AW736" s="99"/>
      <c r="AX736" s="99"/>
      <c r="AY736" s="99"/>
      <c r="AZ736" s="99"/>
      <c r="BA736" s="99"/>
    </row>
    <row r="737" spans="1:53" ht="14.25" customHeight="1" x14ac:dyDescent="0.25">
      <c r="A737" s="124"/>
      <c r="B737" s="124"/>
      <c r="C737" s="124"/>
      <c r="D737" s="158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99"/>
      <c r="AG737" s="99"/>
      <c r="AH737" s="99"/>
      <c r="AI737" s="99"/>
      <c r="AJ737" s="99"/>
      <c r="AK737" s="99"/>
      <c r="AL737" s="99"/>
      <c r="AM737" s="99"/>
      <c r="AN737" s="99"/>
      <c r="AO737" s="99"/>
      <c r="AP737" s="99"/>
      <c r="AQ737" s="99"/>
      <c r="AR737" s="99"/>
      <c r="AS737" s="99"/>
      <c r="AT737" s="99"/>
      <c r="AU737" s="99"/>
      <c r="AV737" s="99"/>
      <c r="AW737" s="99"/>
      <c r="AX737" s="99"/>
      <c r="AY737" s="99"/>
      <c r="AZ737" s="99"/>
      <c r="BA737" s="99"/>
    </row>
    <row r="738" spans="1:53" ht="14.25" customHeight="1" x14ac:dyDescent="0.25">
      <c r="A738" s="124"/>
      <c r="B738" s="124"/>
      <c r="C738" s="124"/>
      <c r="D738" s="158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99"/>
      <c r="AG738" s="99"/>
      <c r="AH738" s="99"/>
      <c r="AI738" s="99"/>
      <c r="AJ738" s="99"/>
      <c r="AK738" s="99"/>
      <c r="AL738" s="99"/>
      <c r="AM738" s="99"/>
      <c r="AN738" s="99"/>
      <c r="AO738" s="99"/>
      <c r="AP738" s="99"/>
      <c r="AQ738" s="99"/>
      <c r="AR738" s="99"/>
      <c r="AS738" s="99"/>
      <c r="AT738" s="99"/>
      <c r="AU738" s="99"/>
      <c r="AV738" s="99"/>
      <c r="AW738" s="99"/>
      <c r="AX738" s="99"/>
      <c r="AY738" s="99"/>
      <c r="AZ738" s="99"/>
      <c r="BA738" s="99"/>
    </row>
    <row r="739" spans="1:53" ht="14.25" customHeight="1" x14ac:dyDescent="0.25">
      <c r="A739" s="124"/>
      <c r="B739" s="124"/>
      <c r="C739" s="124"/>
      <c r="D739" s="158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99"/>
      <c r="AG739" s="99"/>
      <c r="AH739" s="99"/>
      <c r="AI739" s="99"/>
      <c r="AJ739" s="99"/>
      <c r="AK739" s="99"/>
      <c r="AL739" s="99"/>
      <c r="AM739" s="99"/>
      <c r="AN739" s="99"/>
      <c r="AO739" s="99"/>
      <c r="AP739" s="99"/>
      <c r="AQ739" s="99"/>
      <c r="AR739" s="99"/>
      <c r="AS739" s="99"/>
      <c r="AT739" s="99"/>
      <c r="AU739" s="99"/>
      <c r="AV739" s="99"/>
      <c r="AW739" s="99"/>
      <c r="AX739" s="99"/>
      <c r="AY739" s="99"/>
      <c r="AZ739" s="99"/>
      <c r="BA739" s="99"/>
    </row>
    <row r="740" spans="1:53" ht="14.25" customHeight="1" x14ac:dyDescent="0.25">
      <c r="A740" s="124"/>
      <c r="B740" s="124"/>
      <c r="C740" s="124"/>
      <c r="D740" s="158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99"/>
      <c r="AG740" s="99"/>
      <c r="AH740" s="99"/>
      <c r="AI740" s="99"/>
      <c r="AJ740" s="99"/>
      <c r="AK740" s="99"/>
      <c r="AL740" s="99"/>
      <c r="AM740" s="99"/>
      <c r="AN740" s="99"/>
      <c r="AO740" s="99"/>
      <c r="AP740" s="99"/>
      <c r="AQ740" s="99"/>
      <c r="AR740" s="99"/>
      <c r="AS740" s="99"/>
      <c r="AT740" s="99"/>
      <c r="AU740" s="99"/>
      <c r="AV740" s="99"/>
      <c r="AW740" s="99"/>
      <c r="AX740" s="99"/>
      <c r="AY740" s="99"/>
      <c r="AZ740" s="99"/>
      <c r="BA740" s="99"/>
    </row>
    <row r="741" spans="1:53" ht="14.25" customHeight="1" x14ac:dyDescent="0.25">
      <c r="A741" s="124"/>
      <c r="B741" s="124"/>
      <c r="C741" s="124"/>
      <c r="D741" s="158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99"/>
      <c r="AG741" s="99"/>
      <c r="AH741" s="99"/>
      <c r="AI741" s="99"/>
      <c r="AJ741" s="99"/>
      <c r="AK741" s="99"/>
      <c r="AL741" s="99"/>
      <c r="AM741" s="99"/>
      <c r="AN741" s="99"/>
      <c r="AO741" s="99"/>
      <c r="AP741" s="99"/>
      <c r="AQ741" s="99"/>
      <c r="AR741" s="99"/>
      <c r="AS741" s="99"/>
      <c r="AT741" s="99"/>
      <c r="AU741" s="99"/>
      <c r="AV741" s="99"/>
      <c r="AW741" s="99"/>
      <c r="AX741" s="99"/>
      <c r="AY741" s="99"/>
      <c r="AZ741" s="99"/>
      <c r="BA741" s="99"/>
    </row>
    <row r="742" spans="1:53" ht="14.25" customHeight="1" x14ac:dyDescent="0.25">
      <c r="A742" s="124"/>
      <c r="B742" s="124"/>
      <c r="C742" s="124"/>
      <c r="D742" s="158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99"/>
      <c r="AG742" s="99"/>
      <c r="AH742" s="99"/>
      <c r="AI742" s="99"/>
      <c r="AJ742" s="99"/>
      <c r="AK742" s="99"/>
      <c r="AL742" s="99"/>
      <c r="AM742" s="99"/>
      <c r="AN742" s="99"/>
      <c r="AO742" s="99"/>
      <c r="AP742" s="99"/>
      <c r="AQ742" s="99"/>
      <c r="AR742" s="99"/>
      <c r="AS742" s="99"/>
      <c r="AT742" s="99"/>
      <c r="AU742" s="99"/>
      <c r="AV742" s="99"/>
      <c r="AW742" s="99"/>
      <c r="AX742" s="99"/>
      <c r="AY742" s="99"/>
      <c r="AZ742" s="99"/>
      <c r="BA742" s="99"/>
    </row>
    <row r="743" spans="1:53" ht="14.25" customHeight="1" x14ac:dyDescent="0.25">
      <c r="A743" s="124"/>
      <c r="B743" s="124"/>
      <c r="C743" s="124"/>
      <c r="D743" s="158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99"/>
      <c r="AG743" s="99"/>
      <c r="AH743" s="99"/>
      <c r="AI743" s="99"/>
      <c r="AJ743" s="99"/>
      <c r="AK743" s="99"/>
      <c r="AL743" s="99"/>
      <c r="AM743" s="99"/>
      <c r="AN743" s="99"/>
      <c r="AO743" s="99"/>
      <c r="AP743" s="99"/>
      <c r="AQ743" s="99"/>
      <c r="AR743" s="99"/>
      <c r="AS743" s="99"/>
      <c r="AT743" s="99"/>
      <c r="AU743" s="99"/>
      <c r="AV743" s="99"/>
      <c r="AW743" s="99"/>
      <c r="AX743" s="99"/>
      <c r="AY743" s="99"/>
      <c r="AZ743" s="99"/>
      <c r="BA743" s="99"/>
    </row>
    <row r="744" spans="1:53" ht="14.25" customHeight="1" x14ac:dyDescent="0.25">
      <c r="A744" s="124"/>
      <c r="B744" s="124"/>
      <c r="C744" s="124"/>
      <c r="D744" s="158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99"/>
      <c r="AG744" s="99"/>
      <c r="AH744" s="99"/>
      <c r="AI744" s="99"/>
      <c r="AJ744" s="99"/>
      <c r="AK744" s="99"/>
      <c r="AL744" s="99"/>
      <c r="AM744" s="99"/>
      <c r="AN744" s="99"/>
      <c r="AO744" s="99"/>
      <c r="AP744" s="99"/>
      <c r="AQ744" s="99"/>
      <c r="AR744" s="99"/>
      <c r="AS744" s="99"/>
      <c r="AT744" s="99"/>
      <c r="AU744" s="99"/>
      <c r="AV744" s="99"/>
      <c r="AW744" s="99"/>
      <c r="AX744" s="99"/>
      <c r="AY744" s="99"/>
      <c r="AZ744" s="99"/>
      <c r="BA744" s="99"/>
    </row>
    <row r="745" spans="1:53" ht="14.25" customHeight="1" x14ac:dyDescent="0.25">
      <c r="A745" s="124"/>
      <c r="B745" s="124"/>
      <c r="C745" s="124"/>
      <c r="D745" s="158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99"/>
      <c r="AG745" s="99"/>
      <c r="AH745" s="99"/>
      <c r="AI745" s="99"/>
      <c r="AJ745" s="99"/>
      <c r="AK745" s="99"/>
      <c r="AL745" s="99"/>
      <c r="AM745" s="99"/>
      <c r="AN745" s="99"/>
      <c r="AO745" s="99"/>
      <c r="AP745" s="99"/>
      <c r="AQ745" s="99"/>
      <c r="AR745" s="99"/>
      <c r="AS745" s="99"/>
      <c r="AT745" s="99"/>
      <c r="AU745" s="99"/>
      <c r="AV745" s="99"/>
      <c r="AW745" s="99"/>
      <c r="AX745" s="99"/>
      <c r="AY745" s="99"/>
      <c r="AZ745" s="99"/>
      <c r="BA745" s="99"/>
    </row>
    <row r="746" spans="1:53" ht="14.25" customHeight="1" x14ac:dyDescent="0.25">
      <c r="A746" s="124"/>
      <c r="B746" s="124"/>
      <c r="C746" s="124"/>
      <c r="D746" s="158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99"/>
      <c r="AG746" s="99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  <c r="AR746" s="99"/>
      <c r="AS746" s="99"/>
      <c r="AT746" s="99"/>
      <c r="AU746" s="99"/>
      <c r="AV746" s="99"/>
      <c r="AW746" s="99"/>
      <c r="AX746" s="99"/>
      <c r="AY746" s="99"/>
      <c r="AZ746" s="99"/>
      <c r="BA746" s="99"/>
    </row>
    <row r="747" spans="1:53" ht="14.25" customHeight="1" x14ac:dyDescent="0.25">
      <c r="A747" s="124"/>
      <c r="B747" s="124"/>
      <c r="C747" s="124"/>
      <c r="D747" s="158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  <c r="AK747" s="99"/>
      <c r="AL747" s="99"/>
      <c r="AM747" s="99"/>
      <c r="AN747" s="99"/>
      <c r="AO747" s="99"/>
      <c r="AP747" s="99"/>
      <c r="AQ747" s="99"/>
      <c r="AR747" s="99"/>
      <c r="AS747" s="99"/>
      <c r="AT747" s="99"/>
      <c r="AU747" s="99"/>
      <c r="AV747" s="99"/>
      <c r="AW747" s="99"/>
      <c r="AX747" s="99"/>
      <c r="AY747" s="99"/>
      <c r="AZ747" s="99"/>
      <c r="BA747" s="99"/>
    </row>
    <row r="748" spans="1:53" ht="14.25" customHeight="1" x14ac:dyDescent="0.25">
      <c r="A748" s="124"/>
      <c r="B748" s="124"/>
      <c r="C748" s="124"/>
      <c r="D748" s="158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  <c r="AK748" s="99"/>
      <c r="AL748" s="99"/>
      <c r="AM748" s="99"/>
      <c r="AN748" s="99"/>
      <c r="AO748" s="99"/>
      <c r="AP748" s="99"/>
      <c r="AQ748" s="99"/>
      <c r="AR748" s="99"/>
      <c r="AS748" s="99"/>
      <c r="AT748" s="99"/>
      <c r="AU748" s="99"/>
      <c r="AV748" s="99"/>
      <c r="AW748" s="99"/>
      <c r="AX748" s="99"/>
      <c r="AY748" s="99"/>
      <c r="AZ748" s="99"/>
      <c r="BA748" s="99"/>
    </row>
    <row r="749" spans="1:53" ht="14.25" customHeight="1" x14ac:dyDescent="0.25">
      <c r="A749" s="124"/>
      <c r="B749" s="124"/>
      <c r="C749" s="124"/>
      <c r="D749" s="158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  <c r="AK749" s="99"/>
      <c r="AL749" s="99"/>
      <c r="AM749" s="99"/>
      <c r="AN749" s="99"/>
      <c r="AO749" s="99"/>
      <c r="AP749" s="99"/>
      <c r="AQ749" s="99"/>
      <c r="AR749" s="99"/>
      <c r="AS749" s="99"/>
      <c r="AT749" s="99"/>
      <c r="AU749" s="99"/>
      <c r="AV749" s="99"/>
      <c r="AW749" s="99"/>
      <c r="AX749" s="99"/>
      <c r="AY749" s="99"/>
      <c r="AZ749" s="99"/>
      <c r="BA749" s="99"/>
    </row>
    <row r="750" spans="1:53" ht="14.25" customHeight="1" x14ac:dyDescent="0.25">
      <c r="A750" s="124"/>
      <c r="B750" s="124"/>
      <c r="C750" s="124"/>
      <c r="D750" s="158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  <c r="AK750" s="99"/>
      <c r="AL750" s="99"/>
      <c r="AM750" s="99"/>
      <c r="AN750" s="99"/>
      <c r="AO750" s="99"/>
      <c r="AP750" s="99"/>
      <c r="AQ750" s="99"/>
      <c r="AR750" s="99"/>
      <c r="AS750" s="99"/>
      <c r="AT750" s="99"/>
      <c r="AU750" s="99"/>
      <c r="AV750" s="99"/>
      <c r="AW750" s="99"/>
      <c r="AX750" s="99"/>
      <c r="AY750" s="99"/>
      <c r="AZ750" s="99"/>
      <c r="BA750" s="99"/>
    </row>
    <row r="751" spans="1:53" ht="14.25" customHeight="1" x14ac:dyDescent="0.25">
      <c r="A751" s="124"/>
      <c r="B751" s="124"/>
      <c r="C751" s="124"/>
      <c r="D751" s="158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  <c r="AK751" s="99"/>
      <c r="AL751" s="99"/>
      <c r="AM751" s="99"/>
      <c r="AN751" s="99"/>
      <c r="AO751" s="99"/>
      <c r="AP751" s="99"/>
      <c r="AQ751" s="99"/>
      <c r="AR751" s="99"/>
      <c r="AS751" s="99"/>
      <c r="AT751" s="99"/>
      <c r="AU751" s="99"/>
      <c r="AV751" s="99"/>
      <c r="AW751" s="99"/>
      <c r="AX751" s="99"/>
      <c r="AY751" s="99"/>
      <c r="AZ751" s="99"/>
      <c r="BA751" s="99"/>
    </row>
    <row r="752" spans="1:53" ht="14.25" customHeight="1" x14ac:dyDescent="0.25">
      <c r="A752" s="124"/>
      <c r="B752" s="124"/>
      <c r="C752" s="124"/>
      <c r="D752" s="158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  <c r="AK752" s="99"/>
      <c r="AL752" s="99"/>
      <c r="AM752" s="99"/>
      <c r="AN752" s="99"/>
      <c r="AO752" s="99"/>
      <c r="AP752" s="99"/>
      <c r="AQ752" s="99"/>
      <c r="AR752" s="99"/>
      <c r="AS752" s="99"/>
      <c r="AT752" s="99"/>
      <c r="AU752" s="99"/>
      <c r="AV752" s="99"/>
      <c r="AW752" s="99"/>
      <c r="AX752" s="99"/>
      <c r="AY752" s="99"/>
      <c r="AZ752" s="99"/>
      <c r="BA752" s="99"/>
    </row>
    <row r="753" spans="1:53" ht="14.25" customHeight="1" x14ac:dyDescent="0.25">
      <c r="A753" s="124"/>
      <c r="B753" s="124"/>
      <c r="C753" s="124"/>
      <c r="D753" s="158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  <c r="AK753" s="99"/>
      <c r="AL753" s="99"/>
      <c r="AM753" s="99"/>
      <c r="AN753" s="99"/>
      <c r="AO753" s="99"/>
      <c r="AP753" s="99"/>
      <c r="AQ753" s="99"/>
      <c r="AR753" s="99"/>
      <c r="AS753" s="99"/>
      <c r="AT753" s="99"/>
      <c r="AU753" s="99"/>
      <c r="AV753" s="99"/>
      <c r="AW753" s="99"/>
      <c r="AX753" s="99"/>
      <c r="AY753" s="99"/>
      <c r="AZ753" s="99"/>
      <c r="BA753" s="99"/>
    </row>
    <row r="754" spans="1:53" ht="14.25" customHeight="1" x14ac:dyDescent="0.25">
      <c r="A754" s="124"/>
      <c r="B754" s="124"/>
      <c r="C754" s="124"/>
      <c r="D754" s="158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  <c r="AK754" s="99"/>
      <c r="AL754" s="99"/>
      <c r="AM754" s="99"/>
      <c r="AN754" s="99"/>
      <c r="AO754" s="99"/>
      <c r="AP754" s="99"/>
      <c r="AQ754" s="99"/>
      <c r="AR754" s="99"/>
      <c r="AS754" s="99"/>
      <c r="AT754" s="99"/>
      <c r="AU754" s="99"/>
      <c r="AV754" s="99"/>
      <c r="AW754" s="99"/>
      <c r="AX754" s="99"/>
      <c r="AY754" s="99"/>
      <c r="AZ754" s="99"/>
      <c r="BA754" s="99"/>
    </row>
    <row r="755" spans="1:53" ht="14.25" customHeight="1" x14ac:dyDescent="0.25">
      <c r="A755" s="124"/>
      <c r="B755" s="124"/>
      <c r="C755" s="124"/>
      <c r="D755" s="158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  <c r="AK755" s="99"/>
      <c r="AL755" s="99"/>
      <c r="AM755" s="99"/>
      <c r="AN755" s="99"/>
      <c r="AO755" s="99"/>
      <c r="AP755" s="99"/>
      <c r="AQ755" s="99"/>
      <c r="AR755" s="99"/>
      <c r="AS755" s="99"/>
      <c r="AT755" s="99"/>
      <c r="AU755" s="99"/>
      <c r="AV755" s="99"/>
      <c r="AW755" s="99"/>
      <c r="AX755" s="99"/>
      <c r="AY755" s="99"/>
      <c r="AZ755" s="99"/>
      <c r="BA755" s="99"/>
    </row>
    <row r="756" spans="1:53" ht="14.25" customHeight="1" x14ac:dyDescent="0.25">
      <c r="A756" s="124"/>
      <c r="B756" s="124"/>
      <c r="C756" s="124"/>
      <c r="D756" s="158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99"/>
      <c r="AG756" s="99"/>
      <c r="AH756" s="99"/>
      <c r="AI756" s="99"/>
      <c r="AJ756" s="99"/>
      <c r="AK756" s="99"/>
      <c r="AL756" s="99"/>
      <c r="AM756" s="99"/>
      <c r="AN756" s="99"/>
      <c r="AO756" s="99"/>
      <c r="AP756" s="99"/>
      <c r="AQ756" s="99"/>
      <c r="AR756" s="99"/>
      <c r="AS756" s="99"/>
      <c r="AT756" s="99"/>
      <c r="AU756" s="99"/>
      <c r="AV756" s="99"/>
      <c r="AW756" s="99"/>
      <c r="AX756" s="99"/>
      <c r="AY756" s="99"/>
      <c r="AZ756" s="99"/>
      <c r="BA756" s="99"/>
    </row>
    <row r="757" spans="1:53" ht="14.25" customHeight="1" x14ac:dyDescent="0.25">
      <c r="A757" s="124"/>
      <c r="B757" s="124"/>
      <c r="C757" s="124"/>
      <c r="D757" s="158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99"/>
      <c r="AG757" s="99"/>
      <c r="AH757" s="99"/>
      <c r="AI757" s="99"/>
      <c r="AJ757" s="99"/>
      <c r="AK757" s="99"/>
      <c r="AL757" s="99"/>
      <c r="AM757" s="99"/>
      <c r="AN757" s="99"/>
      <c r="AO757" s="99"/>
      <c r="AP757" s="99"/>
      <c r="AQ757" s="99"/>
      <c r="AR757" s="99"/>
      <c r="AS757" s="99"/>
      <c r="AT757" s="99"/>
      <c r="AU757" s="99"/>
      <c r="AV757" s="99"/>
      <c r="AW757" s="99"/>
      <c r="AX757" s="99"/>
      <c r="AY757" s="99"/>
      <c r="AZ757" s="99"/>
      <c r="BA757" s="99"/>
    </row>
    <row r="758" spans="1:53" ht="14.25" customHeight="1" x14ac:dyDescent="0.25">
      <c r="A758" s="124"/>
      <c r="B758" s="124"/>
      <c r="C758" s="124"/>
      <c r="D758" s="158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99"/>
      <c r="AG758" s="99"/>
      <c r="AH758" s="99"/>
      <c r="AI758" s="99"/>
      <c r="AJ758" s="99"/>
      <c r="AK758" s="99"/>
      <c r="AL758" s="99"/>
      <c r="AM758" s="99"/>
      <c r="AN758" s="99"/>
      <c r="AO758" s="99"/>
      <c r="AP758" s="99"/>
      <c r="AQ758" s="99"/>
      <c r="AR758" s="99"/>
      <c r="AS758" s="99"/>
      <c r="AT758" s="99"/>
      <c r="AU758" s="99"/>
      <c r="AV758" s="99"/>
      <c r="AW758" s="99"/>
      <c r="AX758" s="99"/>
      <c r="AY758" s="99"/>
      <c r="AZ758" s="99"/>
      <c r="BA758" s="99"/>
    </row>
    <row r="759" spans="1:53" ht="14.25" customHeight="1" x14ac:dyDescent="0.25">
      <c r="A759" s="124"/>
      <c r="B759" s="124"/>
      <c r="C759" s="124"/>
      <c r="D759" s="158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99"/>
      <c r="AG759" s="99"/>
      <c r="AH759" s="99"/>
      <c r="AI759" s="99"/>
      <c r="AJ759" s="99"/>
      <c r="AK759" s="99"/>
      <c r="AL759" s="99"/>
      <c r="AM759" s="99"/>
      <c r="AN759" s="99"/>
      <c r="AO759" s="99"/>
      <c r="AP759" s="99"/>
      <c r="AQ759" s="99"/>
      <c r="AR759" s="99"/>
      <c r="AS759" s="99"/>
      <c r="AT759" s="99"/>
      <c r="AU759" s="99"/>
      <c r="AV759" s="99"/>
      <c r="AW759" s="99"/>
      <c r="AX759" s="99"/>
      <c r="AY759" s="99"/>
      <c r="AZ759" s="99"/>
      <c r="BA759" s="99"/>
    </row>
    <row r="760" spans="1:53" ht="14.25" customHeight="1" x14ac:dyDescent="0.25">
      <c r="A760" s="124"/>
      <c r="B760" s="124"/>
      <c r="C760" s="124"/>
      <c r="D760" s="158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99"/>
      <c r="AG760" s="99"/>
      <c r="AH760" s="99"/>
      <c r="AI760" s="99"/>
      <c r="AJ760" s="99"/>
      <c r="AK760" s="99"/>
      <c r="AL760" s="99"/>
      <c r="AM760" s="99"/>
      <c r="AN760" s="99"/>
      <c r="AO760" s="99"/>
      <c r="AP760" s="99"/>
      <c r="AQ760" s="99"/>
      <c r="AR760" s="99"/>
      <c r="AS760" s="99"/>
      <c r="AT760" s="99"/>
      <c r="AU760" s="99"/>
      <c r="AV760" s="99"/>
      <c r="AW760" s="99"/>
      <c r="AX760" s="99"/>
      <c r="AY760" s="99"/>
      <c r="AZ760" s="99"/>
      <c r="BA760" s="99"/>
    </row>
    <row r="761" spans="1:53" ht="14.25" customHeight="1" x14ac:dyDescent="0.25">
      <c r="A761" s="124"/>
      <c r="B761" s="124"/>
      <c r="C761" s="124"/>
      <c r="D761" s="158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99"/>
      <c r="AG761" s="99"/>
      <c r="AH761" s="99"/>
      <c r="AI761" s="99"/>
      <c r="AJ761" s="99"/>
      <c r="AK761" s="99"/>
      <c r="AL761" s="99"/>
      <c r="AM761" s="99"/>
      <c r="AN761" s="99"/>
      <c r="AO761" s="99"/>
      <c r="AP761" s="99"/>
      <c r="AQ761" s="99"/>
      <c r="AR761" s="99"/>
      <c r="AS761" s="99"/>
      <c r="AT761" s="99"/>
      <c r="AU761" s="99"/>
      <c r="AV761" s="99"/>
      <c r="AW761" s="99"/>
      <c r="AX761" s="99"/>
      <c r="AY761" s="99"/>
      <c r="AZ761" s="99"/>
      <c r="BA761" s="99"/>
    </row>
    <row r="762" spans="1:53" ht="14.25" customHeight="1" x14ac:dyDescent="0.25">
      <c r="A762" s="124"/>
      <c r="B762" s="124"/>
      <c r="C762" s="124"/>
      <c r="D762" s="158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99"/>
      <c r="AG762" s="99"/>
      <c r="AH762" s="99"/>
      <c r="AI762" s="99"/>
      <c r="AJ762" s="99"/>
      <c r="AK762" s="99"/>
      <c r="AL762" s="99"/>
      <c r="AM762" s="99"/>
      <c r="AN762" s="99"/>
      <c r="AO762" s="99"/>
      <c r="AP762" s="99"/>
      <c r="AQ762" s="99"/>
      <c r="AR762" s="99"/>
      <c r="AS762" s="99"/>
      <c r="AT762" s="99"/>
      <c r="AU762" s="99"/>
      <c r="AV762" s="99"/>
      <c r="AW762" s="99"/>
      <c r="AX762" s="99"/>
      <c r="AY762" s="99"/>
      <c r="AZ762" s="99"/>
      <c r="BA762" s="99"/>
    </row>
    <row r="763" spans="1:53" ht="14.25" customHeight="1" x14ac:dyDescent="0.25">
      <c r="A763" s="124"/>
      <c r="B763" s="124"/>
      <c r="C763" s="124"/>
      <c r="D763" s="158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99"/>
      <c r="AG763" s="99"/>
      <c r="AH763" s="99"/>
      <c r="AI763" s="99"/>
      <c r="AJ763" s="99"/>
      <c r="AK763" s="99"/>
      <c r="AL763" s="99"/>
      <c r="AM763" s="99"/>
      <c r="AN763" s="99"/>
      <c r="AO763" s="99"/>
      <c r="AP763" s="99"/>
      <c r="AQ763" s="99"/>
      <c r="AR763" s="99"/>
      <c r="AS763" s="99"/>
      <c r="AT763" s="99"/>
      <c r="AU763" s="99"/>
      <c r="AV763" s="99"/>
      <c r="AW763" s="99"/>
      <c r="AX763" s="99"/>
      <c r="AY763" s="99"/>
      <c r="AZ763" s="99"/>
      <c r="BA763" s="99"/>
    </row>
    <row r="764" spans="1:53" ht="14.25" customHeight="1" x14ac:dyDescent="0.25">
      <c r="A764" s="124"/>
      <c r="B764" s="124"/>
      <c r="C764" s="124"/>
      <c r="D764" s="158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99"/>
      <c r="AG764" s="99"/>
      <c r="AH764" s="99"/>
      <c r="AI764" s="99"/>
      <c r="AJ764" s="99"/>
      <c r="AK764" s="99"/>
      <c r="AL764" s="99"/>
      <c r="AM764" s="99"/>
      <c r="AN764" s="99"/>
      <c r="AO764" s="99"/>
      <c r="AP764" s="99"/>
      <c r="AQ764" s="99"/>
      <c r="AR764" s="99"/>
      <c r="AS764" s="99"/>
      <c r="AT764" s="99"/>
      <c r="AU764" s="99"/>
      <c r="AV764" s="99"/>
      <c r="AW764" s="99"/>
      <c r="AX764" s="99"/>
      <c r="AY764" s="99"/>
      <c r="AZ764" s="99"/>
      <c r="BA764" s="99"/>
    </row>
    <row r="765" spans="1:53" ht="14.25" customHeight="1" x14ac:dyDescent="0.25">
      <c r="A765" s="124"/>
      <c r="B765" s="124"/>
      <c r="C765" s="124"/>
      <c r="D765" s="158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99"/>
      <c r="AG765" s="99"/>
      <c r="AH765" s="99"/>
      <c r="AI765" s="99"/>
      <c r="AJ765" s="99"/>
      <c r="AK765" s="99"/>
      <c r="AL765" s="99"/>
      <c r="AM765" s="99"/>
      <c r="AN765" s="99"/>
      <c r="AO765" s="99"/>
      <c r="AP765" s="99"/>
      <c r="AQ765" s="99"/>
      <c r="AR765" s="99"/>
      <c r="AS765" s="99"/>
      <c r="AT765" s="99"/>
      <c r="AU765" s="99"/>
      <c r="AV765" s="99"/>
      <c r="AW765" s="99"/>
      <c r="AX765" s="99"/>
      <c r="AY765" s="99"/>
      <c r="AZ765" s="99"/>
      <c r="BA765" s="99"/>
    </row>
    <row r="766" spans="1:53" ht="14.25" customHeight="1" x14ac:dyDescent="0.25">
      <c r="A766" s="124"/>
      <c r="B766" s="124"/>
      <c r="C766" s="124"/>
      <c r="D766" s="158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99"/>
      <c r="AG766" s="99"/>
      <c r="AH766" s="99"/>
      <c r="AI766" s="99"/>
      <c r="AJ766" s="99"/>
      <c r="AK766" s="99"/>
      <c r="AL766" s="99"/>
      <c r="AM766" s="99"/>
      <c r="AN766" s="99"/>
      <c r="AO766" s="99"/>
      <c r="AP766" s="99"/>
      <c r="AQ766" s="99"/>
      <c r="AR766" s="99"/>
      <c r="AS766" s="99"/>
      <c r="AT766" s="99"/>
      <c r="AU766" s="99"/>
      <c r="AV766" s="99"/>
      <c r="AW766" s="99"/>
      <c r="AX766" s="99"/>
      <c r="AY766" s="99"/>
      <c r="AZ766" s="99"/>
      <c r="BA766" s="99"/>
    </row>
    <row r="767" spans="1:53" ht="14.25" customHeight="1" x14ac:dyDescent="0.25">
      <c r="A767" s="124"/>
      <c r="B767" s="124"/>
      <c r="C767" s="124"/>
      <c r="D767" s="158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99"/>
      <c r="AG767" s="99"/>
      <c r="AH767" s="99"/>
      <c r="AI767" s="99"/>
      <c r="AJ767" s="99"/>
      <c r="AK767" s="99"/>
      <c r="AL767" s="99"/>
      <c r="AM767" s="99"/>
      <c r="AN767" s="99"/>
      <c r="AO767" s="99"/>
      <c r="AP767" s="99"/>
      <c r="AQ767" s="99"/>
      <c r="AR767" s="99"/>
      <c r="AS767" s="99"/>
      <c r="AT767" s="99"/>
      <c r="AU767" s="99"/>
      <c r="AV767" s="99"/>
      <c r="AW767" s="99"/>
      <c r="AX767" s="99"/>
      <c r="AY767" s="99"/>
      <c r="AZ767" s="99"/>
      <c r="BA767" s="99"/>
    </row>
    <row r="768" spans="1:53" ht="14.25" customHeight="1" x14ac:dyDescent="0.25">
      <c r="A768" s="124"/>
      <c r="B768" s="124"/>
      <c r="C768" s="124"/>
      <c r="D768" s="158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99"/>
      <c r="AG768" s="99"/>
      <c r="AH768" s="99"/>
      <c r="AI768" s="99"/>
      <c r="AJ768" s="99"/>
      <c r="AK768" s="99"/>
      <c r="AL768" s="99"/>
      <c r="AM768" s="99"/>
      <c r="AN768" s="99"/>
      <c r="AO768" s="99"/>
      <c r="AP768" s="99"/>
      <c r="AQ768" s="99"/>
      <c r="AR768" s="99"/>
      <c r="AS768" s="99"/>
      <c r="AT768" s="99"/>
      <c r="AU768" s="99"/>
      <c r="AV768" s="99"/>
      <c r="AW768" s="99"/>
      <c r="AX768" s="99"/>
      <c r="AY768" s="99"/>
      <c r="AZ768" s="99"/>
      <c r="BA768" s="99"/>
    </row>
    <row r="769" spans="1:53" ht="14.25" customHeight="1" x14ac:dyDescent="0.25">
      <c r="A769" s="124"/>
      <c r="B769" s="124"/>
      <c r="C769" s="124"/>
      <c r="D769" s="158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99"/>
      <c r="AG769" s="99"/>
      <c r="AH769" s="99"/>
      <c r="AI769" s="99"/>
      <c r="AJ769" s="99"/>
      <c r="AK769" s="99"/>
      <c r="AL769" s="99"/>
      <c r="AM769" s="99"/>
      <c r="AN769" s="99"/>
      <c r="AO769" s="99"/>
      <c r="AP769" s="99"/>
      <c r="AQ769" s="99"/>
      <c r="AR769" s="99"/>
      <c r="AS769" s="99"/>
      <c r="AT769" s="99"/>
      <c r="AU769" s="99"/>
      <c r="AV769" s="99"/>
      <c r="AW769" s="99"/>
      <c r="AX769" s="99"/>
      <c r="AY769" s="99"/>
      <c r="AZ769" s="99"/>
      <c r="BA769" s="99"/>
    </row>
    <row r="770" spans="1:53" ht="14.25" customHeight="1" x14ac:dyDescent="0.25">
      <c r="A770" s="124"/>
      <c r="B770" s="124"/>
      <c r="C770" s="124"/>
      <c r="D770" s="158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99"/>
      <c r="AG770" s="99"/>
      <c r="AH770" s="99"/>
      <c r="AI770" s="99"/>
      <c r="AJ770" s="99"/>
      <c r="AK770" s="99"/>
      <c r="AL770" s="99"/>
      <c r="AM770" s="99"/>
      <c r="AN770" s="99"/>
      <c r="AO770" s="99"/>
      <c r="AP770" s="99"/>
      <c r="AQ770" s="99"/>
      <c r="AR770" s="99"/>
      <c r="AS770" s="99"/>
      <c r="AT770" s="99"/>
      <c r="AU770" s="99"/>
      <c r="AV770" s="99"/>
      <c r="AW770" s="99"/>
      <c r="AX770" s="99"/>
      <c r="AY770" s="99"/>
      <c r="AZ770" s="99"/>
      <c r="BA770" s="99"/>
    </row>
    <row r="771" spans="1:53" ht="14.25" customHeight="1" x14ac:dyDescent="0.25">
      <c r="A771" s="124"/>
      <c r="B771" s="124"/>
      <c r="C771" s="124"/>
      <c r="D771" s="158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99"/>
      <c r="AG771" s="99"/>
      <c r="AH771" s="99"/>
      <c r="AI771" s="99"/>
      <c r="AJ771" s="99"/>
      <c r="AK771" s="99"/>
      <c r="AL771" s="99"/>
      <c r="AM771" s="99"/>
      <c r="AN771" s="99"/>
      <c r="AO771" s="99"/>
      <c r="AP771" s="99"/>
      <c r="AQ771" s="99"/>
      <c r="AR771" s="99"/>
      <c r="AS771" s="99"/>
      <c r="AT771" s="99"/>
      <c r="AU771" s="99"/>
      <c r="AV771" s="99"/>
      <c r="AW771" s="99"/>
      <c r="AX771" s="99"/>
      <c r="AY771" s="99"/>
      <c r="AZ771" s="99"/>
      <c r="BA771" s="99"/>
    </row>
    <row r="772" spans="1:53" ht="14.25" customHeight="1" x14ac:dyDescent="0.25">
      <c r="A772" s="124"/>
      <c r="B772" s="124"/>
      <c r="C772" s="124"/>
      <c r="D772" s="158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  <c r="AF772" s="99"/>
      <c r="AG772" s="99"/>
      <c r="AH772" s="99"/>
      <c r="AI772" s="99"/>
      <c r="AJ772" s="99"/>
      <c r="AK772" s="99"/>
      <c r="AL772" s="99"/>
      <c r="AM772" s="99"/>
      <c r="AN772" s="99"/>
      <c r="AO772" s="99"/>
      <c r="AP772" s="99"/>
      <c r="AQ772" s="99"/>
      <c r="AR772" s="99"/>
      <c r="AS772" s="99"/>
      <c r="AT772" s="99"/>
      <c r="AU772" s="99"/>
      <c r="AV772" s="99"/>
      <c r="AW772" s="99"/>
      <c r="AX772" s="99"/>
      <c r="AY772" s="99"/>
      <c r="AZ772" s="99"/>
      <c r="BA772" s="99"/>
    </row>
    <row r="773" spans="1:53" ht="14.25" customHeight="1" x14ac:dyDescent="0.25">
      <c r="A773" s="124"/>
      <c r="B773" s="124"/>
      <c r="C773" s="124"/>
      <c r="D773" s="158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  <c r="AF773" s="99"/>
      <c r="AG773" s="99"/>
      <c r="AH773" s="99"/>
      <c r="AI773" s="99"/>
      <c r="AJ773" s="99"/>
      <c r="AK773" s="99"/>
      <c r="AL773" s="99"/>
      <c r="AM773" s="99"/>
      <c r="AN773" s="99"/>
      <c r="AO773" s="99"/>
      <c r="AP773" s="99"/>
      <c r="AQ773" s="99"/>
      <c r="AR773" s="99"/>
      <c r="AS773" s="99"/>
      <c r="AT773" s="99"/>
      <c r="AU773" s="99"/>
      <c r="AV773" s="99"/>
      <c r="AW773" s="99"/>
      <c r="AX773" s="99"/>
      <c r="AY773" s="99"/>
      <c r="AZ773" s="99"/>
      <c r="BA773" s="99"/>
    </row>
    <row r="774" spans="1:53" ht="14.25" customHeight="1" x14ac:dyDescent="0.25">
      <c r="A774" s="124"/>
      <c r="B774" s="124"/>
      <c r="C774" s="124"/>
      <c r="D774" s="158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  <c r="AC774" s="99"/>
      <c r="AD774" s="99"/>
      <c r="AE774" s="99"/>
      <c r="AF774" s="99"/>
      <c r="AG774" s="99"/>
      <c r="AH774" s="99"/>
      <c r="AI774" s="99"/>
      <c r="AJ774" s="99"/>
      <c r="AK774" s="99"/>
      <c r="AL774" s="99"/>
      <c r="AM774" s="99"/>
      <c r="AN774" s="99"/>
      <c r="AO774" s="99"/>
      <c r="AP774" s="99"/>
      <c r="AQ774" s="99"/>
      <c r="AR774" s="99"/>
      <c r="AS774" s="99"/>
      <c r="AT774" s="99"/>
      <c r="AU774" s="99"/>
      <c r="AV774" s="99"/>
      <c r="AW774" s="99"/>
      <c r="AX774" s="99"/>
      <c r="AY774" s="99"/>
      <c r="AZ774" s="99"/>
      <c r="BA774" s="99"/>
    </row>
    <row r="775" spans="1:53" ht="14.25" customHeight="1" x14ac:dyDescent="0.25">
      <c r="A775" s="124"/>
      <c r="B775" s="124"/>
      <c r="C775" s="124"/>
      <c r="D775" s="158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99"/>
      <c r="AG775" s="99"/>
      <c r="AH775" s="99"/>
      <c r="AI775" s="99"/>
      <c r="AJ775" s="99"/>
      <c r="AK775" s="99"/>
      <c r="AL775" s="99"/>
      <c r="AM775" s="99"/>
      <c r="AN775" s="99"/>
      <c r="AO775" s="99"/>
      <c r="AP775" s="99"/>
      <c r="AQ775" s="99"/>
      <c r="AR775" s="99"/>
      <c r="AS775" s="99"/>
      <c r="AT775" s="99"/>
      <c r="AU775" s="99"/>
      <c r="AV775" s="99"/>
      <c r="AW775" s="99"/>
      <c r="AX775" s="99"/>
      <c r="AY775" s="99"/>
      <c r="AZ775" s="99"/>
      <c r="BA775" s="99"/>
    </row>
    <row r="776" spans="1:53" ht="14.25" customHeight="1" x14ac:dyDescent="0.25">
      <c r="A776" s="124"/>
      <c r="B776" s="124"/>
      <c r="C776" s="124"/>
      <c r="D776" s="158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  <c r="AF776" s="99"/>
      <c r="AG776" s="99"/>
      <c r="AH776" s="99"/>
      <c r="AI776" s="99"/>
      <c r="AJ776" s="99"/>
      <c r="AK776" s="99"/>
      <c r="AL776" s="99"/>
      <c r="AM776" s="99"/>
      <c r="AN776" s="99"/>
      <c r="AO776" s="99"/>
      <c r="AP776" s="99"/>
      <c r="AQ776" s="99"/>
      <c r="AR776" s="99"/>
      <c r="AS776" s="99"/>
      <c r="AT776" s="99"/>
      <c r="AU776" s="99"/>
      <c r="AV776" s="99"/>
      <c r="AW776" s="99"/>
      <c r="AX776" s="99"/>
      <c r="AY776" s="99"/>
      <c r="AZ776" s="99"/>
      <c r="BA776" s="99"/>
    </row>
    <row r="777" spans="1:53" ht="14.25" customHeight="1" x14ac:dyDescent="0.25">
      <c r="A777" s="124"/>
      <c r="B777" s="124"/>
      <c r="C777" s="124"/>
      <c r="D777" s="158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99"/>
      <c r="AG777" s="99"/>
      <c r="AH777" s="99"/>
      <c r="AI777" s="99"/>
      <c r="AJ777" s="99"/>
      <c r="AK777" s="99"/>
      <c r="AL777" s="99"/>
      <c r="AM777" s="99"/>
      <c r="AN777" s="99"/>
      <c r="AO777" s="99"/>
      <c r="AP777" s="99"/>
      <c r="AQ777" s="99"/>
      <c r="AR777" s="99"/>
      <c r="AS777" s="99"/>
      <c r="AT777" s="99"/>
      <c r="AU777" s="99"/>
      <c r="AV777" s="99"/>
      <c r="AW777" s="99"/>
      <c r="AX777" s="99"/>
      <c r="AY777" s="99"/>
      <c r="AZ777" s="99"/>
      <c r="BA777" s="99"/>
    </row>
    <row r="778" spans="1:53" ht="14.25" customHeight="1" x14ac:dyDescent="0.25">
      <c r="A778" s="124"/>
      <c r="B778" s="124"/>
      <c r="C778" s="124"/>
      <c r="D778" s="158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99"/>
      <c r="AG778" s="99"/>
      <c r="AH778" s="99"/>
      <c r="AI778" s="99"/>
      <c r="AJ778" s="99"/>
      <c r="AK778" s="99"/>
      <c r="AL778" s="99"/>
      <c r="AM778" s="99"/>
      <c r="AN778" s="99"/>
      <c r="AO778" s="99"/>
      <c r="AP778" s="99"/>
      <c r="AQ778" s="99"/>
      <c r="AR778" s="99"/>
      <c r="AS778" s="99"/>
      <c r="AT778" s="99"/>
      <c r="AU778" s="99"/>
      <c r="AV778" s="99"/>
      <c r="AW778" s="99"/>
      <c r="AX778" s="99"/>
      <c r="AY778" s="99"/>
      <c r="AZ778" s="99"/>
      <c r="BA778" s="99"/>
    </row>
    <row r="779" spans="1:53" ht="14.25" customHeight="1" x14ac:dyDescent="0.25">
      <c r="A779" s="124"/>
      <c r="B779" s="124"/>
      <c r="C779" s="124"/>
      <c r="D779" s="158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99"/>
      <c r="AG779" s="99"/>
      <c r="AH779" s="99"/>
      <c r="AI779" s="99"/>
      <c r="AJ779" s="99"/>
      <c r="AK779" s="99"/>
      <c r="AL779" s="99"/>
      <c r="AM779" s="99"/>
      <c r="AN779" s="99"/>
      <c r="AO779" s="99"/>
      <c r="AP779" s="99"/>
      <c r="AQ779" s="99"/>
      <c r="AR779" s="99"/>
      <c r="AS779" s="99"/>
      <c r="AT779" s="99"/>
      <c r="AU779" s="99"/>
      <c r="AV779" s="99"/>
      <c r="AW779" s="99"/>
      <c r="AX779" s="99"/>
      <c r="AY779" s="99"/>
      <c r="AZ779" s="99"/>
      <c r="BA779" s="99"/>
    </row>
    <row r="780" spans="1:53" ht="14.25" customHeight="1" x14ac:dyDescent="0.25">
      <c r="A780" s="124"/>
      <c r="B780" s="124"/>
      <c r="C780" s="124"/>
      <c r="D780" s="158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  <c r="AF780" s="99"/>
      <c r="AG780" s="99"/>
      <c r="AH780" s="99"/>
      <c r="AI780" s="99"/>
      <c r="AJ780" s="99"/>
      <c r="AK780" s="99"/>
      <c r="AL780" s="99"/>
      <c r="AM780" s="99"/>
      <c r="AN780" s="99"/>
      <c r="AO780" s="99"/>
      <c r="AP780" s="99"/>
      <c r="AQ780" s="99"/>
      <c r="AR780" s="99"/>
      <c r="AS780" s="99"/>
      <c r="AT780" s="99"/>
      <c r="AU780" s="99"/>
      <c r="AV780" s="99"/>
      <c r="AW780" s="99"/>
      <c r="AX780" s="99"/>
      <c r="AY780" s="99"/>
      <c r="AZ780" s="99"/>
      <c r="BA780" s="99"/>
    </row>
    <row r="781" spans="1:53" ht="14.25" customHeight="1" x14ac:dyDescent="0.25">
      <c r="A781" s="124"/>
      <c r="B781" s="124"/>
      <c r="C781" s="124"/>
      <c r="D781" s="158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  <c r="AF781" s="99"/>
      <c r="AG781" s="99"/>
      <c r="AH781" s="99"/>
      <c r="AI781" s="99"/>
      <c r="AJ781" s="99"/>
      <c r="AK781" s="99"/>
      <c r="AL781" s="99"/>
      <c r="AM781" s="99"/>
      <c r="AN781" s="99"/>
      <c r="AO781" s="99"/>
      <c r="AP781" s="99"/>
      <c r="AQ781" s="99"/>
      <c r="AR781" s="99"/>
      <c r="AS781" s="99"/>
      <c r="AT781" s="99"/>
      <c r="AU781" s="99"/>
      <c r="AV781" s="99"/>
      <c r="AW781" s="99"/>
      <c r="AX781" s="99"/>
      <c r="AY781" s="99"/>
      <c r="AZ781" s="99"/>
      <c r="BA781" s="99"/>
    </row>
    <row r="782" spans="1:53" ht="14.25" customHeight="1" x14ac:dyDescent="0.25">
      <c r="A782" s="124"/>
      <c r="B782" s="124"/>
      <c r="C782" s="124"/>
      <c r="D782" s="158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99"/>
      <c r="AG782" s="99"/>
      <c r="AH782" s="99"/>
      <c r="AI782" s="99"/>
      <c r="AJ782" s="99"/>
      <c r="AK782" s="99"/>
      <c r="AL782" s="99"/>
      <c r="AM782" s="99"/>
      <c r="AN782" s="99"/>
      <c r="AO782" s="99"/>
      <c r="AP782" s="99"/>
      <c r="AQ782" s="99"/>
      <c r="AR782" s="99"/>
      <c r="AS782" s="99"/>
      <c r="AT782" s="99"/>
      <c r="AU782" s="99"/>
      <c r="AV782" s="99"/>
      <c r="AW782" s="99"/>
      <c r="AX782" s="99"/>
      <c r="AY782" s="99"/>
      <c r="AZ782" s="99"/>
      <c r="BA782" s="99"/>
    </row>
    <row r="783" spans="1:53" ht="14.25" customHeight="1" x14ac:dyDescent="0.25">
      <c r="A783" s="124"/>
      <c r="B783" s="124"/>
      <c r="C783" s="124"/>
      <c r="D783" s="158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99"/>
      <c r="AG783" s="99"/>
      <c r="AH783" s="99"/>
      <c r="AI783" s="99"/>
      <c r="AJ783" s="99"/>
      <c r="AK783" s="99"/>
      <c r="AL783" s="99"/>
      <c r="AM783" s="99"/>
      <c r="AN783" s="99"/>
      <c r="AO783" s="99"/>
      <c r="AP783" s="99"/>
      <c r="AQ783" s="99"/>
      <c r="AR783" s="99"/>
      <c r="AS783" s="99"/>
      <c r="AT783" s="99"/>
      <c r="AU783" s="99"/>
      <c r="AV783" s="99"/>
      <c r="AW783" s="99"/>
      <c r="AX783" s="99"/>
      <c r="AY783" s="99"/>
      <c r="AZ783" s="99"/>
      <c r="BA783" s="99"/>
    </row>
    <row r="784" spans="1:53" ht="14.25" customHeight="1" x14ac:dyDescent="0.25">
      <c r="A784" s="124"/>
      <c r="B784" s="124"/>
      <c r="C784" s="124"/>
      <c r="D784" s="158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99"/>
      <c r="AG784" s="99"/>
      <c r="AH784" s="99"/>
      <c r="AI784" s="99"/>
      <c r="AJ784" s="99"/>
      <c r="AK784" s="99"/>
      <c r="AL784" s="99"/>
      <c r="AM784" s="99"/>
      <c r="AN784" s="99"/>
      <c r="AO784" s="99"/>
      <c r="AP784" s="99"/>
      <c r="AQ784" s="99"/>
      <c r="AR784" s="99"/>
      <c r="AS784" s="99"/>
      <c r="AT784" s="99"/>
      <c r="AU784" s="99"/>
      <c r="AV784" s="99"/>
      <c r="AW784" s="99"/>
      <c r="AX784" s="99"/>
      <c r="AY784" s="99"/>
      <c r="AZ784" s="99"/>
      <c r="BA784" s="99"/>
    </row>
    <row r="785" spans="1:53" ht="14.25" customHeight="1" x14ac:dyDescent="0.25">
      <c r="A785" s="124"/>
      <c r="B785" s="124"/>
      <c r="C785" s="124"/>
      <c r="D785" s="158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99"/>
      <c r="AG785" s="99"/>
      <c r="AH785" s="99"/>
      <c r="AI785" s="99"/>
      <c r="AJ785" s="99"/>
      <c r="AK785" s="99"/>
      <c r="AL785" s="99"/>
      <c r="AM785" s="99"/>
      <c r="AN785" s="99"/>
      <c r="AO785" s="99"/>
      <c r="AP785" s="99"/>
      <c r="AQ785" s="99"/>
      <c r="AR785" s="99"/>
      <c r="AS785" s="99"/>
      <c r="AT785" s="99"/>
      <c r="AU785" s="99"/>
      <c r="AV785" s="99"/>
      <c r="AW785" s="99"/>
      <c r="AX785" s="99"/>
      <c r="AY785" s="99"/>
      <c r="AZ785" s="99"/>
      <c r="BA785" s="99"/>
    </row>
    <row r="786" spans="1:53" ht="14.25" customHeight="1" x14ac:dyDescent="0.25">
      <c r="A786" s="124"/>
      <c r="B786" s="124"/>
      <c r="C786" s="124"/>
      <c r="D786" s="158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99"/>
      <c r="AG786" s="99"/>
      <c r="AH786" s="99"/>
      <c r="AI786" s="99"/>
      <c r="AJ786" s="99"/>
      <c r="AK786" s="99"/>
      <c r="AL786" s="99"/>
      <c r="AM786" s="99"/>
      <c r="AN786" s="99"/>
      <c r="AO786" s="99"/>
      <c r="AP786" s="99"/>
      <c r="AQ786" s="99"/>
      <c r="AR786" s="99"/>
      <c r="AS786" s="99"/>
      <c r="AT786" s="99"/>
      <c r="AU786" s="99"/>
      <c r="AV786" s="99"/>
      <c r="AW786" s="99"/>
      <c r="AX786" s="99"/>
      <c r="AY786" s="99"/>
      <c r="AZ786" s="99"/>
      <c r="BA786" s="99"/>
    </row>
    <row r="787" spans="1:53" ht="14.25" customHeight="1" x14ac:dyDescent="0.25">
      <c r="A787" s="124"/>
      <c r="B787" s="124"/>
      <c r="C787" s="124"/>
      <c r="D787" s="158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99"/>
      <c r="AG787" s="99"/>
      <c r="AH787" s="99"/>
      <c r="AI787" s="99"/>
      <c r="AJ787" s="99"/>
      <c r="AK787" s="99"/>
      <c r="AL787" s="99"/>
      <c r="AM787" s="99"/>
      <c r="AN787" s="99"/>
      <c r="AO787" s="99"/>
      <c r="AP787" s="99"/>
      <c r="AQ787" s="99"/>
      <c r="AR787" s="99"/>
      <c r="AS787" s="99"/>
      <c r="AT787" s="99"/>
      <c r="AU787" s="99"/>
      <c r="AV787" s="99"/>
      <c r="AW787" s="99"/>
      <c r="AX787" s="99"/>
      <c r="AY787" s="99"/>
      <c r="AZ787" s="99"/>
      <c r="BA787" s="99"/>
    </row>
    <row r="788" spans="1:53" ht="14.25" customHeight="1" x14ac:dyDescent="0.25">
      <c r="A788" s="124"/>
      <c r="B788" s="124"/>
      <c r="C788" s="124"/>
      <c r="D788" s="158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99"/>
      <c r="AG788" s="99"/>
      <c r="AH788" s="99"/>
      <c r="AI788" s="99"/>
      <c r="AJ788" s="99"/>
      <c r="AK788" s="99"/>
      <c r="AL788" s="99"/>
      <c r="AM788" s="99"/>
      <c r="AN788" s="99"/>
      <c r="AO788" s="99"/>
      <c r="AP788" s="99"/>
      <c r="AQ788" s="99"/>
      <c r="AR788" s="99"/>
      <c r="AS788" s="99"/>
      <c r="AT788" s="99"/>
      <c r="AU788" s="99"/>
      <c r="AV788" s="99"/>
      <c r="AW788" s="99"/>
      <c r="AX788" s="99"/>
      <c r="AY788" s="99"/>
      <c r="AZ788" s="99"/>
      <c r="BA788" s="99"/>
    </row>
    <row r="789" spans="1:53" ht="14.25" customHeight="1" x14ac:dyDescent="0.25">
      <c r="A789" s="124"/>
      <c r="B789" s="124"/>
      <c r="C789" s="124"/>
      <c r="D789" s="158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99"/>
      <c r="AG789" s="99"/>
      <c r="AH789" s="99"/>
      <c r="AI789" s="99"/>
      <c r="AJ789" s="99"/>
      <c r="AK789" s="99"/>
      <c r="AL789" s="99"/>
      <c r="AM789" s="99"/>
      <c r="AN789" s="99"/>
      <c r="AO789" s="99"/>
      <c r="AP789" s="99"/>
      <c r="AQ789" s="99"/>
      <c r="AR789" s="99"/>
      <c r="AS789" s="99"/>
      <c r="AT789" s="99"/>
      <c r="AU789" s="99"/>
      <c r="AV789" s="99"/>
      <c r="AW789" s="99"/>
      <c r="AX789" s="99"/>
      <c r="AY789" s="99"/>
      <c r="AZ789" s="99"/>
      <c r="BA789" s="99"/>
    </row>
    <row r="790" spans="1:53" ht="14.25" customHeight="1" x14ac:dyDescent="0.25">
      <c r="A790" s="124"/>
      <c r="B790" s="124"/>
      <c r="C790" s="124"/>
      <c r="D790" s="158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99"/>
      <c r="AG790" s="99"/>
      <c r="AH790" s="99"/>
      <c r="AI790" s="99"/>
      <c r="AJ790" s="99"/>
      <c r="AK790" s="99"/>
      <c r="AL790" s="99"/>
      <c r="AM790" s="99"/>
      <c r="AN790" s="99"/>
      <c r="AO790" s="99"/>
      <c r="AP790" s="99"/>
      <c r="AQ790" s="99"/>
      <c r="AR790" s="99"/>
      <c r="AS790" s="99"/>
      <c r="AT790" s="99"/>
      <c r="AU790" s="99"/>
      <c r="AV790" s="99"/>
      <c r="AW790" s="99"/>
      <c r="AX790" s="99"/>
      <c r="AY790" s="99"/>
      <c r="AZ790" s="99"/>
      <c r="BA790" s="99"/>
    </row>
    <row r="791" spans="1:53" ht="14.25" customHeight="1" x14ac:dyDescent="0.25">
      <c r="A791" s="124"/>
      <c r="B791" s="124"/>
      <c r="C791" s="124"/>
      <c r="D791" s="158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99"/>
      <c r="AG791" s="99"/>
      <c r="AH791" s="99"/>
      <c r="AI791" s="99"/>
      <c r="AJ791" s="99"/>
      <c r="AK791" s="99"/>
      <c r="AL791" s="99"/>
      <c r="AM791" s="99"/>
      <c r="AN791" s="99"/>
      <c r="AO791" s="99"/>
      <c r="AP791" s="99"/>
      <c r="AQ791" s="99"/>
      <c r="AR791" s="99"/>
      <c r="AS791" s="99"/>
      <c r="AT791" s="99"/>
      <c r="AU791" s="99"/>
      <c r="AV791" s="99"/>
      <c r="AW791" s="99"/>
      <c r="AX791" s="99"/>
      <c r="AY791" s="99"/>
      <c r="AZ791" s="99"/>
      <c r="BA791" s="99"/>
    </row>
    <row r="792" spans="1:53" ht="14.25" customHeight="1" x14ac:dyDescent="0.25">
      <c r="A792" s="124"/>
      <c r="B792" s="124"/>
      <c r="C792" s="124"/>
      <c r="D792" s="158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99"/>
      <c r="AG792" s="99"/>
      <c r="AH792" s="99"/>
      <c r="AI792" s="99"/>
      <c r="AJ792" s="99"/>
      <c r="AK792" s="99"/>
      <c r="AL792" s="99"/>
      <c r="AM792" s="99"/>
      <c r="AN792" s="99"/>
      <c r="AO792" s="99"/>
      <c r="AP792" s="99"/>
      <c r="AQ792" s="99"/>
      <c r="AR792" s="99"/>
      <c r="AS792" s="99"/>
      <c r="AT792" s="99"/>
      <c r="AU792" s="99"/>
      <c r="AV792" s="99"/>
      <c r="AW792" s="99"/>
      <c r="AX792" s="99"/>
      <c r="AY792" s="99"/>
      <c r="AZ792" s="99"/>
      <c r="BA792" s="99"/>
    </row>
    <row r="793" spans="1:53" ht="14.25" customHeight="1" x14ac:dyDescent="0.25">
      <c r="A793" s="124"/>
      <c r="B793" s="124"/>
      <c r="C793" s="124"/>
      <c r="D793" s="158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99"/>
      <c r="AG793" s="99"/>
      <c r="AH793" s="99"/>
      <c r="AI793" s="99"/>
      <c r="AJ793" s="99"/>
      <c r="AK793" s="99"/>
      <c r="AL793" s="99"/>
      <c r="AM793" s="99"/>
      <c r="AN793" s="99"/>
      <c r="AO793" s="99"/>
      <c r="AP793" s="99"/>
      <c r="AQ793" s="99"/>
      <c r="AR793" s="99"/>
      <c r="AS793" s="99"/>
      <c r="AT793" s="99"/>
      <c r="AU793" s="99"/>
      <c r="AV793" s="99"/>
      <c r="AW793" s="99"/>
      <c r="AX793" s="99"/>
      <c r="AY793" s="99"/>
      <c r="AZ793" s="99"/>
      <c r="BA793" s="99"/>
    </row>
    <row r="794" spans="1:53" ht="14.25" customHeight="1" x14ac:dyDescent="0.25">
      <c r="A794" s="124"/>
      <c r="B794" s="124"/>
      <c r="C794" s="124"/>
      <c r="D794" s="158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99"/>
      <c r="AG794" s="99"/>
      <c r="AH794" s="99"/>
      <c r="AI794" s="99"/>
      <c r="AJ794" s="99"/>
      <c r="AK794" s="99"/>
      <c r="AL794" s="99"/>
      <c r="AM794" s="99"/>
      <c r="AN794" s="99"/>
      <c r="AO794" s="99"/>
      <c r="AP794" s="99"/>
      <c r="AQ794" s="99"/>
      <c r="AR794" s="99"/>
      <c r="AS794" s="99"/>
      <c r="AT794" s="99"/>
      <c r="AU794" s="99"/>
      <c r="AV794" s="99"/>
      <c r="AW794" s="99"/>
      <c r="AX794" s="99"/>
      <c r="AY794" s="99"/>
      <c r="AZ794" s="99"/>
      <c r="BA794" s="99"/>
    </row>
    <row r="795" spans="1:53" ht="14.25" customHeight="1" x14ac:dyDescent="0.25">
      <c r="A795" s="124"/>
      <c r="B795" s="124"/>
      <c r="C795" s="124"/>
      <c r="D795" s="158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99"/>
      <c r="AG795" s="99"/>
      <c r="AH795" s="99"/>
      <c r="AI795" s="99"/>
      <c r="AJ795" s="99"/>
      <c r="AK795" s="99"/>
      <c r="AL795" s="99"/>
      <c r="AM795" s="99"/>
      <c r="AN795" s="99"/>
      <c r="AO795" s="99"/>
      <c r="AP795" s="99"/>
      <c r="AQ795" s="99"/>
      <c r="AR795" s="99"/>
      <c r="AS795" s="99"/>
      <c r="AT795" s="99"/>
      <c r="AU795" s="99"/>
      <c r="AV795" s="99"/>
      <c r="AW795" s="99"/>
      <c r="AX795" s="99"/>
      <c r="AY795" s="99"/>
      <c r="AZ795" s="99"/>
      <c r="BA795" s="99"/>
    </row>
    <row r="796" spans="1:53" ht="14.25" customHeight="1" x14ac:dyDescent="0.25">
      <c r="A796" s="124"/>
      <c r="B796" s="124"/>
      <c r="C796" s="124"/>
      <c r="D796" s="158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99"/>
      <c r="AG796" s="99"/>
      <c r="AH796" s="99"/>
      <c r="AI796" s="99"/>
      <c r="AJ796" s="99"/>
      <c r="AK796" s="99"/>
      <c r="AL796" s="99"/>
      <c r="AM796" s="99"/>
      <c r="AN796" s="99"/>
      <c r="AO796" s="99"/>
      <c r="AP796" s="99"/>
      <c r="AQ796" s="99"/>
      <c r="AR796" s="99"/>
      <c r="AS796" s="99"/>
      <c r="AT796" s="99"/>
      <c r="AU796" s="99"/>
      <c r="AV796" s="99"/>
      <c r="AW796" s="99"/>
      <c r="AX796" s="99"/>
      <c r="AY796" s="99"/>
      <c r="AZ796" s="99"/>
      <c r="BA796" s="99"/>
    </row>
    <row r="797" spans="1:53" ht="14.25" customHeight="1" x14ac:dyDescent="0.25">
      <c r="A797" s="124"/>
      <c r="B797" s="124"/>
      <c r="C797" s="124"/>
      <c r="D797" s="158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99"/>
      <c r="AG797" s="99"/>
      <c r="AH797" s="99"/>
      <c r="AI797" s="99"/>
      <c r="AJ797" s="99"/>
      <c r="AK797" s="99"/>
      <c r="AL797" s="99"/>
      <c r="AM797" s="99"/>
      <c r="AN797" s="99"/>
      <c r="AO797" s="99"/>
      <c r="AP797" s="99"/>
      <c r="AQ797" s="99"/>
      <c r="AR797" s="99"/>
      <c r="AS797" s="99"/>
      <c r="AT797" s="99"/>
      <c r="AU797" s="99"/>
      <c r="AV797" s="99"/>
      <c r="AW797" s="99"/>
      <c r="AX797" s="99"/>
      <c r="AY797" s="99"/>
      <c r="AZ797" s="99"/>
      <c r="BA797" s="99"/>
    </row>
    <row r="798" spans="1:53" ht="14.25" customHeight="1" x14ac:dyDescent="0.25">
      <c r="A798" s="124"/>
      <c r="B798" s="124"/>
      <c r="C798" s="124"/>
      <c r="D798" s="158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99"/>
      <c r="AG798" s="99"/>
      <c r="AH798" s="99"/>
      <c r="AI798" s="99"/>
      <c r="AJ798" s="99"/>
      <c r="AK798" s="99"/>
      <c r="AL798" s="99"/>
      <c r="AM798" s="99"/>
      <c r="AN798" s="99"/>
      <c r="AO798" s="99"/>
      <c r="AP798" s="99"/>
      <c r="AQ798" s="99"/>
      <c r="AR798" s="99"/>
      <c r="AS798" s="99"/>
      <c r="AT798" s="99"/>
      <c r="AU798" s="99"/>
      <c r="AV798" s="99"/>
      <c r="AW798" s="99"/>
      <c r="AX798" s="99"/>
      <c r="AY798" s="99"/>
      <c r="AZ798" s="99"/>
      <c r="BA798" s="99"/>
    </row>
    <row r="799" spans="1:53" ht="14.25" customHeight="1" x14ac:dyDescent="0.25">
      <c r="A799" s="124"/>
      <c r="B799" s="124"/>
      <c r="C799" s="124"/>
      <c r="D799" s="158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99"/>
      <c r="AG799" s="99"/>
      <c r="AH799" s="99"/>
      <c r="AI799" s="99"/>
      <c r="AJ799" s="99"/>
      <c r="AK799" s="99"/>
      <c r="AL799" s="99"/>
      <c r="AM799" s="99"/>
      <c r="AN799" s="99"/>
      <c r="AO799" s="99"/>
      <c r="AP799" s="99"/>
      <c r="AQ799" s="99"/>
      <c r="AR799" s="99"/>
      <c r="AS799" s="99"/>
      <c r="AT799" s="99"/>
      <c r="AU799" s="99"/>
      <c r="AV799" s="99"/>
      <c r="AW799" s="99"/>
      <c r="AX799" s="99"/>
      <c r="AY799" s="99"/>
      <c r="AZ799" s="99"/>
      <c r="BA799" s="99"/>
    </row>
    <row r="800" spans="1:53" ht="14.25" customHeight="1" x14ac:dyDescent="0.25">
      <c r="A800" s="124"/>
      <c r="B800" s="124"/>
      <c r="C800" s="124"/>
      <c r="D800" s="158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99"/>
      <c r="AG800" s="99"/>
      <c r="AH800" s="99"/>
      <c r="AI800" s="99"/>
      <c r="AJ800" s="99"/>
      <c r="AK800" s="99"/>
      <c r="AL800" s="99"/>
      <c r="AM800" s="99"/>
      <c r="AN800" s="99"/>
      <c r="AO800" s="99"/>
      <c r="AP800" s="99"/>
      <c r="AQ800" s="99"/>
      <c r="AR800" s="99"/>
      <c r="AS800" s="99"/>
      <c r="AT800" s="99"/>
      <c r="AU800" s="99"/>
      <c r="AV800" s="99"/>
      <c r="AW800" s="99"/>
      <c r="AX800" s="99"/>
      <c r="AY800" s="99"/>
      <c r="AZ800" s="99"/>
      <c r="BA800" s="99"/>
    </row>
    <row r="801" spans="1:53" ht="14.25" customHeight="1" x14ac:dyDescent="0.25">
      <c r="A801" s="124"/>
      <c r="B801" s="124"/>
      <c r="C801" s="124"/>
      <c r="D801" s="158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99"/>
      <c r="AG801" s="99"/>
      <c r="AH801" s="99"/>
      <c r="AI801" s="99"/>
      <c r="AJ801" s="99"/>
      <c r="AK801" s="99"/>
      <c r="AL801" s="99"/>
      <c r="AM801" s="99"/>
      <c r="AN801" s="99"/>
      <c r="AO801" s="99"/>
      <c r="AP801" s="99"/>
      <c r="AQ801" s="99"/>
      <c r="AR801" s="99"/>
      <c r="AS801" s="99"/>
      <c r="AT801" s="99"/>
      <c r="AU801" s="99"/>
      <c r="AV801" s="99"/>
      <c r="AW801" s="99"/>
      <c r="AX801" s="99"/>
      <c r="AY801" s="99"/>
      <c r="AZ801" s="99"/>
      <c r="BA801" s="99"/>
    </row>
    <row r="802" spans="1:53" ht="14.25" customHeight="1" x14ac:dyDescent="0.25">
      <c r="A802" s="124"/>
      <c r="B802" s="124"/>
      <c r="C802" s="124"/>
      <c r="D802" s="158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99"/>
      <c r="AG802" s="99"/>
      <c r="AH802" s="99"/>
      <c r="AI802" s="99"/>
      <c r="AJ802" s="99"/>
      <c r="AK802" s="99"/>
      <c r="AL802" s="99"/>
      <c r="AM802" s="99"/>
      <c r="AN802" s="99"/>
      <c r="AO802" s="99"/>
      <c r="AP802" s="99"/>
      <c r="AQ802" s="99"/>
      <c r="AR802" s="99"/>
      <c r="AS802" s="99"/>
      <c r="AT802" s="99"/>
      <c r="AU802" s="99"/>
      <c r="AV802" s="99"/>
      <c r="AW802" s="99"/>
      <c r="AX802" s="99"/>
      <c r="AY802" s="99"/>
      <c r="AZ802" s="99"/>
      <c r="BA802" s="99"/>
    </row>
    <row r="803" spans="1:53" ht="14.25" customHeight="1" x14ac:dyDescent="0.25">
      <c r="A803" s="124"/>
      <c r="B803" s="124"/>
      <c r="C803" s="124"/>
      <c r="D803" s="158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99"/>
      <c r="AG803" s="99"/>
      <c r="AH803" s="99"/>
      <c r="AI803" s="99"/>
      <c r="AJ803" s="99"/>
      <c r="AK803" s="99"/>
      <c r="AL803" s="99"/>
      <c r="AM803" s="99"/>
      <c r="AN803" s="99"/>
      <c r="AO803" s="99"/>
      <c r="AP803" s="99"/>
      <c r="AQ803" s="99"/>
      <c r="AR803" s="99"/>
      <c r="AS803" s="99"/>
      <c r="AT803" s="99"/>
      <c r="AU803" s="99"/>
      <c r="AV803" s="99"/>
      <c r="AW803" s="99"/>
      <c r="AX803" s="99"/>
      <c r="AY803" s="99"/>
      <c r="AZ803" s="99"/>
      <c r="BA803" s="99"/>
    </row>
    <row r="804" spans="1:53" ht="14.25" customHeight="1" x14ac:dyDescent="0.25">
      <c r="A804" s="124"/>
      <c r="B804" s="124"/>
      <c r="C804" s="124"/>
      <c r="D804" s="158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99"/>
      <c r="AG804" s="99"/>
      <c r="AH804" s="99"/>
      <c r="AI804" s="99"/>
      <c r="AJ804" s="99"/>
      <c r="AK804" s="99"/>
      <c r="AL804" s="99"/>
      <c r="AM804" s="99"/>
      <c r="AN804" s="99"/>
      <c r="AO804" s="99"/>
      <c r="AP804" s="99"/>
      <c r="AQ804" s="99"/>
      <c r="AR804" s="99"/>
      <c r="AS804" s="99"/>
      <c r="AT804" s="99"/>
      <c r="AU804" s="99"/>
      <c r="AV804" s="99"/>
      <c r="AW804" s="99"/>
      <c r="AX804" s="99"/>
      <c r="AY804" s="99"/>
      <c r="AZ804" s="99"/>
      <c r="BA804" s="99"/>
    </row>
    <row r="805" spans="1:53" ht="14.25" customHeight="1" x14ac:dyDescent="0.25">
      <c r="A805" s="124"/>
      <c r="B805" s="124"/>
      <c r="C805" s="124"/>
      <c r="D805" s="158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99"/>
      <c r="AG805" s="99"/>
      <c r="AH805" s="99"/>
      <c r="AI805" s="99"/>
      <c r="AJ805" s="99"/>
      <c r="AK805" s="99"/>
      <c r="AL805" s="99"/>
      <c r="AM805" s="99"/>
      <c r="AN805" s="99"/>
      <c r="AO805" s="99"/>
      <c r="AP805" s="99"/>
      <c r="AQ805" s="99"/>
      <c r="AR805" s="99"/>
      <c r="AS805" s="99"/>
      <c r="AT805" s="99"/>
      <c r="AU805" s="99"/>
      <c r="AV805" s="99"/>
      <c r="AW805" s="99"/>
      <c r="AX805" s="99"/>
      <c r="AY805" s="99"/>
      <c r="AZ805" s="99"/>
      <c r="BA805" s="99"/>
    </row>
    <row r="806" spans="1:53" ht="14.25" customHeight="1" x14ac:dyDescent="0.25">
      <c r="A806" s="124"/>
      <c r="B806" s="124"/>
      <c r="C806" s="124"/>
      <c r="D806" s="158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99"/>
      <c r="AG806" s="99"/>
      <c r="AH806" s="99"/>
      <c r="AI806" s="99"/>
      <c r="AJ806" s="99"/>
      <c r="AK806" s="99"/>
      <c r="AL806" s="99"/>
      <c r="AM806" s="99"/>
      <c r="AN806" s="99"/>
      <c r="AO806" s="99"/>
      <c r="AP806" s="99"/>
      <c r="AQ806" s="99"/>
      <c r="AR806" s="99"/>
      <c r="AS806" s="99"/>
      <c r="AT806" s="99"/>
      <c r="AU806" s="99"/>
      <c r="AV806" s="99"/>
      <c r="AW806" s="99"/>
      <c r="AX806" s="99"/>
      <c r="AY806" s="99"/>
      <c r="AZ806" s="99"/>
      <c r="BA806" s="99"/>
    </row>
    <row r="807" spans="1:53" ht="14.25" customHeight="1" x14ac:dyDescent="0.25">
      <c r="A807" s="124"/>
      <c r="B807" s="124"/>
      <c r="C807" s="124"/>
      <c r="D807" s="158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99"/>
      <c r="AG807" s="99"/>
      <c r="AH807" s="99"/>
      <c r="AI807" s="99"/>
      <c r="AJ807" s="99"/>
      <c r="AK807" s="99"/>
      <c r="AL807" s="99"/>
      <c r="AM807" s="99"/>
      <c r="AN807" s="99"/>
      <c r="AO807" s="99"/>
      <c r="AP807" s="99"/>
      <c r="AQ807" s="99"/>
      <c r="AR807" s="99"/>
      <c r="AS807" s="99"/>
      <c r="AT807" s="99"/>
      <c r="AU807" s="99"/>
      <c r="AV807" s="99"/>
      <c r="AW807" s="99"/>
      <c r="AX807" s="99"/>
      <c r="AY807" s="99"/>
      <c r="AZ807" s="99"/>
      <c r="BA807" s="99"/>
    </row>
    <row r="808" spans="1:53" ht="14.25" customHeight="1" x14ac:dyDescent="0.25">
      <c r="A808" s="124"/>
      <c r="B808" s="124"/>
      <c r="C808" s="124"/>
      <c r="D808" s="158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99"/>
      <c r="AG808" s="99"/>
      <c r="AH808" s="99"/>
      <c r="AI808" s="99"/>
      <c r="AJ808" s="99"/>
      <c r="AK808" s="99"/>
      <c r="AL808" s="99"/>
      <c r="AM808" s="99"/>
      <c r="AN808" s="99"/>
      <c r="AO808" s="99"/>
      <c r="AP808" s="99"/>
      <c r="AQ808" s="99"/>
      <c r="AR808" s="99"/>
      <c r="AS808" s="99"/>
      <c r="AT808" s="99"/>
      <c r="AU808" s="99"/>
      <c r="AV808" s="99"/>
      <c r="AW808" s="99"/>
      <c r="AX808" s="99"/>
      <c r="AY808" s="99"/>
      <c r="AZ808" s="99"/>
      <c r="BA808" s="99"/>
    </row>
    <row r="809" spans="1:53" ht="14.25" customHeight="1" x14ac:dyDescent="0.25">
      <c r="A809" s="124"/>
      <c r="B809" s="124"/>
      <c r="C809" s="124"/>
      <c r="D809" s="158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99"/>
      <c r="AG809" s="99"/>
      <c r="AH809" s="99"/>
      <c r="AI809" s="99"/>
      <c r="AJ809" s="99"/>
      <c r="AK809" s="99"/>
      <c r="AL809" s="99"/>
      <c r="AM809" s="99"/>
      <c r="AN809" s="99"/>
      <c r="AO809" s="99"/>
      <c r="AP809" s="99"/>
      <c r="AQ809" s="99"/>
      <c r="AR809" s="99"/>
      <c r="AS809" s="99"/>
      <c r="AT809" s="99"/>
      <c r="AU809" s="99"/>
      <c r="AV809" s="99"/>
      <c r="AW809" s="99"/>
      <c r="AX809" s="99"/>
      <c r="AY809" s="99"/>
      <c r="AZ809" s="99"/>
      <c r="BA809" s="99"/>
    </row>
    <row r="810" spans="1:53" ht="14.25" customHeight="1" x14ac:dyDescent="0.25">
      <c r="A810" s="124"/>
      <c r="B810" s="124"/>
      <c r="C810" s="124"/>
      <c r="D810" s="158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99"/>
      <c r="AG810" s="99"/>
      <c r="AH810" s="99"/>
      <c r="AI810" s="99"/>
      <c r="AJ810" s="99"/>
      <c r="AK810" s="99"/>
      <c r="AL810" s="99"/>
      <c r="AM810" s="99"/>
      <c r="AN810" s="99"/>
      <c r="AO810" s="99"/>
      <c r="AP810" s="99"/>
      <c r="AQ810" s="99"/>
      <c r="AR810" s="99"/>
      <c r="AS810" s="99"/>
      <c r="AT810" s="99"/>
      <c r="AU810" s="99"/>
      <c r="AV810" s="99"/>
      <c r="AW810" s="99"/>
      <c r="AX810" s="99"/>
      <c r="AY810" s="99"/>
      <c r="AZ810" s="99"/>
      <c r="BA810" s="99"/>
    </row>
    <row r="811" spans="1:53" ht="14.25" customHeight="1" x14ac:dyDescent="0.25">
      <c r="A811" s="124"/>
      <c r="B811" s="124"/>
      <c r="C811" s="124"/>
      <c r="D811" s="158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99"/>
      <c r="AG811" s="99"/>
      <c r="AH811" s="99"/>
      <c r="AI811" s="99"/>
      <c r="AJ811" s="99"/>
      <c r="AK811" s="99"/>
      <c r="AL811" s="99"/>
      <c r="AM811" s="99"/>
      <c r="AN811" s="99"/>
      <c r="AO811" s="99"/>
      <c r="AP811" s="99"/>
      <c r="AQ811" s="99"/>
      <c r="AR811" s="99"/>
      <c r="AS811" s="99"/>
      <c r="AT811" s="99"/>
      <c r="AU811" s="99"/>
      <c r="AV811" s="99"/>
      <c r="AW811" s="99"/>
      <c r="AX811" s="99"/>
      <c r="AY811" s="99"/>
      <c r="AZ811" s="99"/>
      <c r="BA811" s="99"/>
    </row>
    <row r="812" spans="1:53" ht="14.25" customHeight="1" x14ac:dyDescent="0.25">
      <c r="A812" s="124"/>
      <c r="B812" s="124"/>
      <c r="C812" s="124"/>
      <c r="D812" s="158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99"/>
      <c r="AG812" s="99"/>
      <c r="AH812" s="99"/>
      <c r="AI812" s="99"/>
      <c r="AJ812" s="99"/>
      <c r="AK812" s="99"/>
      <c r="AL812" s="99"/>
      <c r="AM812" s="99"/>
      <c r="AN812" s="99"/>
      <c r="AO812" s="99"/>
      <c r="AP812" s="99"/>
      <c r="AQ812" s="99"/>
      <c r="AR812" s="99"/>
      <c r="AS812" s="99"/>
      <c r="AT812" s="99"/>
      <c r="AU812" s="99"/>
      <c r="AV812" s="99"/>
      <c r="AW812" s="99"/>
      <c r="AX812" s="99"/>
      <c r="AY812" s="99"/>
      <c r="AZ812" s="99"/>
      <c r="BA812" s="99"/>
    </row>
    <row r="813" spans="1:53" ht="14.25" customHeight="1" x14ac:dyDescent="0.25">
      <c r="A813" s="124"/>
      <c r="B813" s="124"/>
      <c r="C813" s="124"/>
      <c r="D813" s="158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99"/>
      <c r="AG813" s="99"/>
      <c r="AH813" s="99"/>
      <c r="AI813" s="99"/>
      <c r="AJ813" s="99"/>
      <c r="AK813" s="99"/>
      <c r="AL813" s="99"/>
      <c r="AM813" s="99"/>
      <c r="AN813" s="99"/>
      <c r="AO813" s="99"/>
      <c r="AP813" s="99"/>
      <c r="AQ813" s="99"/>
      <c r="AR813" s="99"/>
      <c r="AS813" s="99"/>
      <c r="AT813" s="99"/>
      <c r="AU813" s="99"/>
      <c r="AV813" s="99"/>
      <c r="AW813" s="99"/>
      <c r="AX813" s="99"/>
      <c r="AY813" s="99"/>
      <c r="AZ813" s="99"/>
      <c r="BA813" s="99"/>
    </row>
    <row r="814" spans="1:53" ht="14.25" customHeight="1" x14ac:dyDescent="0.25">
      <c r="A814" s="124"/>
      <c r="B814" s="124"/>
      <c r="C814" s="124"/>
      <c r="D814" s="158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99"/>
      <c r="AG814" s="99"/>
      <c r="AH814" s="99"/>
      <c r="AI814" s="99"/>
      <c r="AJ814" s="99"/>
      <c r="AK814" s="99"/>
      <c r="AL814" s="99"/>
      <c r="AM814" s="99"/>
      <c r="AN814" s="99"/>
      <c r="AO814" s="99"/>
      <c r="AP814" s="99"/>
      <c r="AQ814" s="99"/>
      <c r="AR814" s="99"/>
      <c r="AS814" s="99"/>
      <c r="AT814" s="99"/>
      <c r="AU814" s="99"/>
      <c r="AV814" s="99"/>
      <c r="AW814" s="99"/>
      <c r="AX814" s="99"/>
      <c r="AY814" s="99"/>
      <c r="AZ814" s="99"/>
      <c r="BA814" s="99"/>
    </row>
    <row r="815" spans="1:53" ht="14.25" customHeight="1" x14ac:dyDescent="0.25">
      <c r="A815" s="124"/>
      <c r="B815" s="124"/>
      <c r="C815" s="124"/>
      <c r="D815" s="158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99"/>
      <c r="AG815" s="99"/>
      <c r="AH815" s="99"/>
      <c r="AI815" s="99"/>
      <c r="AJ815" s="99"/>
      <c r="AK815" s="99"/>
      <c r="AL815" s="99"/>
      <c r="AM815" s="99"/>
      <c r="AN815" s="99"/>
      <c r="AO815" s="99"/>
      <c r="AP815" s="99"/>
      <c r="AQ815" s="99"/>
      <c r="AR815" s="99"/>
      <c r="AS815" s="99"/>
      <c r="AT815" s="99"/>
      <c r="AU815" s="99"/>
      <c r="AV815" s="99"/>
      <c r="AW815" s="99"/>
      <c r="AX815" s="99"/>
      <c r="AY815" s="99"/>
      <c r="AZ815" s="99"/>
      <c r="BA815" s="99"/>
    </row>
    <row r="816" spans="1:53" ht="14.25" customHeight="1" x14ac:dyDescent="0.25">
      <c r="A816" s="124"/>
      <c r="B816" s="124"/>
      <c r="C816" s="124"/>
      <c r="D816" s="158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99"/>
      <c r="AG816" s="99"/>
      <c r="AH816" s="99"/>
      <c r="AI816" s="99"/>
      <c r="AJ816" s="99"/>
      <c r="AK816" s="99"/>
      <c r="AL816" s="99"/>
      <c r="AM816" s="99"/>
      <c r="AN816" s="99"/>
      <c r="AO816" s="99"/>
      <c r="AP816" s="99"/>
      <c r="AQ816" s="99"/>
      <c r="AR816" s="99"/>
      <c r="AS816" s="99"/>
      <c r="AT816" s="99"/>
      <c r="AU816" s="99"/>
      <c r="AV816" s="99"/>
      <c r="AW816" s="99"/>
      <c r="AX816" s="99"/>
      <c r="AY816" s="99"/>
      <c r="AZ816" s="99"/>
      <c r="BA816" s="99"/>
    </row>
    <row r="817" spans="1:53" ht="14.25" customHeight="1" x14ac:dyDescent="0.25">
      <c r="A817" s="124"/>
      <c r="B817" s="124"/>
      <c r="C817" s="124"/>
      <c r="D817" s="158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99"/>
      <c r="AG817" s="99"/>
      <c r="AH817" s="99"/>
      <c r="AI817" s="99"/>
      <c r="AJ817" s="99"/>
      <c r="AK817" s="99"/>
      <c r="AL817" s="99"/>
      <c r="AM817" s="99"/>
      <c r="AN817" s="99"/>
      <c r="AO817" s="99"/>
      <c r="AP817" s="99"/>
      <c r="AQ817" s="99"/>
      <c r="AR817" s="99"/>
      <c r="AS817" s="99"/>
      <c r="AT817" s="99"/>
      <c r="AU817" s="99"/>
      <c r="AV817" s="99"/>
      <c r="AW817" s="99"/>
      <c r="AX817" s="99"/>
      <c r="AY817" s="99"/>
      <c r="AZ817" s="99"/>
      <c r="BA817" s="99"/>
    </row>
    <row r="818" spans="1:53" ht="14.25" customHeight="1" x14ac:dyDescent="0.25">
      <c r="A818" s="124"/>
      <c r="B818" s="124"/>
      <c r="C818" s="124"/>
      <c r="D818" s="158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99"/>
      <c r="AG818" s="99"/>
      <c r="AH818" s="99"/>
      <c r="AI818" s="99"/>
      <c r="AJ818" s="99"/>
      <c r="AK818" s="99"/>
      <c r="AL818" s="99"/>
      <c r="AM818" s="99"/>
      <c r="AN818" s="99"/>
      <c r="AO818" s="99"/>
      <c r="AP818" s="99"/>
      <c r="AQ818" s="99"/>
      <c r="AR818" s="99"/>
      <c r="AS818" s="99"/>
      <c r="AT818" s="99"/>
      <c r="AU818" s="99"/>
      <c r="AV818" s="99"/>
      <c r="AW818" s="99"/>
      <c r="AX818" s="99"/>
      <c r="AY818" s="99"/>
      <c r="AZ818" s="99"/>
      <c r="BA818" s="99"/>
    </row>
    <row r="819" spans="1:53" ht="14.25" customHeight="1" x14ac:dyDescent="0.25">
      <c r="A819" s="124"/>
      <c r="B819" s="124"/>
      <c r="C819" s="124"/>
      <c r="D819" s="158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99"/>
      <c r="AG819" s="99"/>
      <c r="AH819" s="99"/>
      <c r="AI819" s="99"/>
      <c r="AJ819" s="99"/>
      <c r="AK819" s="99"/>
      <c r="AL819" s="99"/>
      <c r="AM819" s="99"/>
      <c r="AN819" s="99"/>
      <c r="AO819" s="99"/>
      <c r="AP819" s="99"/>
      <c r="AQ819" s="99"/>
      <c r="AR819" s="99"/>
      <c r="AS819" s="99"/>
      <c r="AT819" s="99"/>
      <c r="AU819" s="99"/>
      <c r="AV819" s="99"/>
      <c r="AW819" s="99"/>
      <c r="AX819" s="99"/>
      <c r="AY819" s="99"/>
      <c r="AZ819" s="99"/>
      <c r="BA819" s="99"/>
    </row>
    <row r="820" spans="1:53" ht="14.25" customHeight="1" x14ac:dyDescent="0.25">
      <c r="A820" s="124"/>
      <c r="B820" s="124"/>
      <c r="C820" s="124"/>
      <c r="D820" s="158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99"/>
      <c r="AG820" s="99"/>
      <c r="AH820" s="99"/>
      <c r="AI820" s="99"/>
      <c r="AJ820" s="99"/>
      <c r="AK820" s="99"/>
      <c r="AL820" s="99"/>
      <c r="AM820" s="99"/>
      <c r="AN820" s="99"/>
      <c r="AO820" s="99"/>
      <c r="AP820" s="99"/>
      <c r="AQ820" s="99"/>
      <c r="AR820" s="99"/>
      <c r="AS820" s="99"/>
      <c r="AT820" s="99"/>
      <c r="AU820" s="99"/>
      <c r="AV820" s="99"/>
      <c r="AW820" s="99"/>
      <c r="AX820" s="99"/>
      <c r="AY820" s="99"/>
      <c r="AZ820" s="99"/>
      <c r="BA820" s="99"/>
    </row>
    <row r="821" spans="1:53" ht="14.25" customHeight="1" x14ac:dyDescent="0.25">
      <c r="A821" s="124"/>
      <c r="B821" s="124"/>
      <c r="C821" s="124"/>
      <c r="D821" s="158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99"/>
      <c r="AG821" s="99"/>
      <c r="AH821" s="99"/>
      <c r="AI821" s="99"/>
      <c r="AJ821" s="99"/>
      <c r="AK821" s="99"/>
      <c r="AL821" s="99"/>
      <c r="AM821" s="99"/>
      <c r="AN821" s="99"/>
      <c r="AO821" s="99"/>
      <c r="AP821" s="99"/>
      <c r="AQ821" s="99"/>
      <c r="AR821" s="99"/>
      <c r="AS821" s="99"/>
      <c r="AT821" s="99"/>
      <c r="AU821" s="99"/>
      <c r="AV821" s="99"/>
      <c r="AW821" s="99"/>
      <c r="AX821" s="99"/>
      <c r="AY821" s="99"/>
      <c r="AZ821" s="99"/>
      <c r="BA821" s="99"/>
    </row>
    <row r="822" spans="1:53" ht="14.25" customHeight="1" x14ac:dyDescent="0.25">
      <c r="A822" s="124"/>
      <c r="B822" s="124"/>
      <c r="C822" s="124"/>
      <c r="D822" s="158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99"/>
      <c r="AG822" s="99"/>
      <c r="AH822" s="99"/>
      <c r="AI822" s="99"/>
      <c r="AJ822" s="99"/>
      <c r="AK822" s="99"/>
      <c r="AL822" s="99"/>
      <c r="AM822" s="99"/>
      <c r="AN822" s="99"/>
      <c r="AO822" s="99"/>
      <c r="AP822" s="99"/>
      <c r="AQ822" s="99"/>
      <c r="AR822" s="99"/>
      <c r="AS822" s="99"/>
      <c r="AT822" s="99"/>
      <c r="AU822" s="99"/>
      <c r="AV822" s="99"/>
      <c r="AW822" s="99"/>
      <c r="AX822" s="99"/>
      <c r="AY822" s="99"/>
      <c r="AZ822" s="99"/>
      <c r="BA822" s="99"/>
    </row>
    <row r="823" spans="1:53" ht="14.25" customHeight="1" x14ac:dyDescent="0.25">
      <c r="A823" s="124"/>
      <c r="B823" s="124"/>
      <c r="C823" s="124"/>
      <c r="D823" s="158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99"/>
      <c r="AG823" s="99"/>
      <c r="AH823" s="99"/>
      <c r="AI823" s="99"/>
      <c r="AJ823" s="99"/>
      <c r="AK823" s="99"/>
      <c r="AL823" s="99"/>
      <c r="AM823" s="99"/>
      <c r="AN823" s="99"/>
      <c r="AO823" s="99"/>
      <c r="AP823" s="99"/>
      <c r="AQ823" s="99"/>
      <c r="AR823" s="99"/>
      <c r="AS823" s="99"/>
      <c r="AT823" s="99"/>
      <c r="AU823" s="99"/>
      <c r="AV823" s="99"/>
      <c r="AW823" s="99"/>
      <c r="AX823" s="99"/>
      <c r="AY823" s="99"/>
      <c r="AZ823" s="99"/>
      <c r="BA823" s="99"/>
    </row>
    <row r="824" spans="1:53" ht="14.25" customHeight="1" x14ac:dyDescent="0.25">
      <c r="A824" s="124"/>
      <c r="B824" s="124"/>
      <c r="C824" s="124"/>
      <c r="D824" s="158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99"/>
      <c r="AG824" s="99"/>
      <c r="AH824" s="99"/>
      <c r="AI824" s="99"/>
      <c r="AJ824" s="99"/>
      <c r="AK824" s="99"/>
      <c r="AL824" s="99"/>
      <c r="AM824" s="99"/>
      <c r="AN824" s="99"/>
      <c r="AO824" s="99"/>
      <c r="AP824" s="99"/>
      <c r="AQ824" s="99"/>
      <c r="AR824" s="99"/>
      <c r="AS824" s="99"/>
      <c r="AT824" s="99"/>
      <c r="AU824" s="99"/>
      <c r="AV824" s="99"/>
      <c r="AW824" s="99"/>
      <c r="AX824" s="99"/>
      <c r="AY824" s="99"/>
      <c r="AZ824" s="99"/>
      <c r="BA824" s="99"/>
    </row>
    <row r="825" spans="1:53" ht="14.25" customHeight="1" x14ac:dyDescent="0.25">
      <c r="A825" s="124"/>
      <c r="B825" s="124"/>
      <c r="C825" s="124"/>
      <c r="D825" s="158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99"/>
      <c r="AG825" s="99"/>
      <c r="AH825" s="99"/>
      <c r="AI825" s="99"/>
      <c r="AJ825" s="99"/>
      <c r="AK825" s="99"/>
      <c r="AL825" s="99"/>
      <c r="AM825" s="99"/>
      <c r="AN825" s="99"/>
      <c r="AO825" s="99"/>
      <c r="AP825" s="99"/>
      <c r="AQ825" s="99"/>
      <c r="AR825" s="99"/>
      <c r="AS825" s="99"/>
      <c r="AT825" s="99"/>
      <c r="AU825" s="99"/>
      <c r="AV825" s="99"/>
      <c r="AW825" s="99"/>
      <c r="AX825" s="99"/>
      <c r="AY825" s="99"/>
      <c r="AZ825" s="99"/>
      <c r="BA825" s="99"/>
    </row>
    <row r="826" spans="1:53" ht="14.25" customHeight="1" x14ac:dyDescent="0.25">
      <c r="A826" s="124"/>
      <c r="B826" s="124"/>
      <c r="C826" s="124"/>
      <c r="D826" s="158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99"/>
      <c r="AG826" s="99"/>
      <c r="AH826" s="99"/>
      <c r="AI826" s="99"/>
      <c r="AJ826" s="99"/>
      <c r="AK826" s="99"/>
      <c r="AL826" s="99"/>
      <c r="AM826" s="99"/>
      <c r="AN826" s="99"/>
      <c r="AO826" s="99"/>
      <c r="AP826" s="99"/>
      <c r="AQ826" s="99"/>
      <c r="AR826" s="99"/>
      <c r="AS826" s="99"/>
      <c r="AT826" s="99"/>
      <c r="AU826" s="99"/>
      <c r="AV826" s="99"/>
      <c r="AW826" s="99"/>
      <c r="AX826" s="99"/>
      <c r="AY826" s="99"/>
      <c r="AZ826" s="99"/>
      <c r="BA826" s="99"/>
    </row>
    <row r="827" spans="1:53" ht="14.25" customHeight="1" x14ac:dyDescent="0.25">
      <c r="A827" s="124"/>
      <c r="B827" s="124"/>
      <c r="C827" s="124"/>
      <c r="D827" s="158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99"/>
      <c r="AG827" s="99"/>
      <c r="AH827" s="99"/>
      <c r="AI827" s="99"/>
      <c r="AJ827" s="99"/>
      <c r="AK827" s="99"/>
      <c r="AL827" s="99"/>
      <c r="AM827" s="99"/>
      <c r="AN827" s="99"/>
      <c r="AO827" s="99"/>
      <c r="AP827" s="99"/>
      <c r="AQ827" s="99"/>
      <c r="AR827" s="99"/>
      <c r="AS827" s="99"/>
      <c r="AT827" s="99"/>
      <c r="AU827" s="99"/>
      <c r="AV827" s="99"/>
      <c r="AW827" s="99"/>
      <c r="AX827" s="99"/>
      <c r="AY827" s="99"/>
      <c r="AZ827" s="99"/>
      <c r="BA827" s="99"/>
    </row>
    <row r="828" spans="1:53" ht="14.25" customHeight="1" x14ac:dyDescent="0.25">
      <c r="A828" s="124"/>
      <c r="B828" s="124"/>
      <c r="C828" s="124"/>
      <c r="D828" s="158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99"/>
      <c r="AG828" s="99"/>
      <c r="AH828" s="99"/>
      <c r="AI828" s="99"/>
      <c r="AJ828" s="99"/>
      <c r="AK828" s="99"/>
      <c r="AL828" s="99"/>
      <c r="AM828" s="99"/>
      <c r="AN828" s="99"/>
      <c r="AO828" s="99"/>
      <c r="AP828" s="99"/>
      <c r="AQ828" s="99"/>
      <c r="AR828" s="99"/>
      <c r="AS828" s="99"/>
      <c r="AT828" s="99"/>
      <c r="AU828" s="99"/>
      <c r="AV828" s="99"/>
      <c r="AW828" s="99"/>
      <c r="AX828" s="99"/>
      <c r="AY828" s="99"/>
      <c r="AZ828" s="99"/>
      <c r="BA828" s="99"/>
    </row>
    <row r="829" spans="1:53" ht="14.25" customHeight="1" x14ac:dyDescent="0.25">
      <c r="A829" s="124"/>
      <c r="B829" s="124"/>
      <c r="C829" s="124"/>
      <c r="D829" s="158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99"/>
      <c r="AG829" s="99"/>
      <c r="AH829" s="99"/>
      <c r="AI829" s="99"/>
      <c r="AJ829" s="99"/>
      <c r="AK829" s="99"/>
      <c r="AL829" s="99"/>
      <c r="AM829" s="99"/>
      <c r="AN829" s="99"/>
      <c r="AO829" s="99"/>
      <c r="AP829" s="99"/>
      <c r="AQ829" s="99"/>
      <c r="AR829" s="99"/>
      <c r="AS829" s="99"/>
      <c r="AT829" s="99"/>
      <c r="AU829" s="99"/>
      <c r="AV829" s="99"/>
      <c r="AW829" s="99"/>
      <c r="AX829" s="99"/>
      <c r="AY829" s="99"/>
      <c r="AZ829" s="99"/>
      <c r="BA829" s="99"/>
    </row>
    <row r="830" spans="1:53" ht="14.25" customHeight="1" x14ac:dyDescent="0.25">
      <c r="A830" s="124"/>
      <c r="B830" s="124"/>
      <c r="C830" s="124"/>
      <c r="D830" s="158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99"/>
      <c r="AG830" s="99"/>
      <c r="AH830" s="99"/>
      <c r="AI830" s="99"/>
      <c r="AJ830" s="99"/>
      <c r="AK830" s="99"/>
      <c r="AL830" s="99"/>
      <c r="AM830" s="99"/>
      <c r="AN830" s="99"/>
      <c r="AO830" s="99"/>
      <c r="AP830" s="99"/>
      <c r="AQ830" s="99"/>
      <c r="AR830" s="99"/>
      <c r="AS830" s="99"/>
      <c r="AT830" s="99"/>
      <c r="AU830" s="99"/>
      <c r="AV830" s="99"/>
      <c r="AW830" s="99"/>
      <c r="AX830" s="99"/>
      <c r="AY830" s="99"/>
      <c r="AZ830" s="99"/>
      <c r="BA830" s="99"/>
    </row>
    <row r="831" spans="1:53" ht="14.25" customHeight="1" x14ac:dyDescent="0.25">
      <c r="A831" s="124"/>
      <c r="B831" s="124"/>
      <c r="C831" s="124"/>
      <c r="D831" s="158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99"/>
      <c r="AG831" s="99"/>
      <c r="AH831" s="99"/>
      <c r="AI831" s="99"/>
      <c r="AJ831" s="99"/>
      <c r="AK831" s="99"/>
      <c r="AL831" s="99"/>
      <c r="AM831" s="99"/>
      <c r="AN831" s="99"/>
      <c r="AO831" s="99"/>
      <c r="AP831" s="99"/>
      <c r="AQ831" s="99"/>
      <c r="AR831" s="99"/>
      <c r="AS831" s="99"/>
      <c r="AT831" s="99"/>
      <c r="AU831" s="99"/>
      <c r="AV831" s="99"/>
      <c r="AW831" s="99"/>
      <c r="AX831" s="99"/>
      <c r="AY831" s="99"/>
      <c r="AZ831" s="99"/>
      <c r="BA831" s="99"/>
    </row>
    <row r="832" spans="1:53" ht="14.25" customHeight="1" x14ac:dyDescent="0.25">
      <c r="A832" s="124"/>
      <c r="B832" s="124"/>
      <c r="C832" s="124"/>
      <c r="D832" s="158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99"/>
      <c r="AG832" s="99"/>
      <c r="AH832" s="99"/>
      <c r="AI832" s="99"/>
      <c r="AJ832" s="99"/>
      <c r="AK832" s="99"/>
      <c r="AL832" s="99"/>
      <c r="AM832" s="99"/>
      <c r="AN832" s="99"/>
      <c r="AO832" s="99"/>
      <c r="AP832" s="99"/>
      <c r="AQ832" s="99"/>
      <c r="AR832" s="99"/>
      <c r="AS832" s="99"/>
      <c r="AT832" s="99"/>
      <c r="AU832" s="99"/>
      <c r="AV832" s="99"/>
      <c r="AW832" s="99"/>
      <c r="AX832" s="99"/>
      <c r="AY832" s="99"/>
      <c r="AZ832" s="99"/>
      <c r="BA832" s="99"/>
    </row>
    <row r="833" spans="1:53" ht="14.25" customHeight="1" x14ac:dyDescent="0.25">
      <c r="A833" s="124"/>
      <c r="B833" s="124"/>
      <c r="C833" s="124"/>
      <c r="D833" s="158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99"/>
      <c r="AG833" s="99"/>
      <c r="AH833" s="99"/>
      <c r="AI833" s="99"/>
      <c r="AJ833" s="99"/>
      <c r="AK833" s="99"/>
      <c r="AL833" s="99"/>
      <c r="AM833" s="99"/>
      <c r="AN833" s="99"/>
      <c r="AO833" s="99"/>
      <c r="AP833" s="99"/>
      <c r="AQ833" s="99"/>
      <c r="AR833" s="99"/>
      <c r="AS833" s="99"/>
      <c r="AT833" s="99"/>
      <c r="AU833" s="99"/>
      <c r="AV833" s="99"/>
      <c r="AW833" s="99"/>
      <c r="AX833" s="99"/>
      <c r="AY833" s="99"/>
      <c r="AZ833" s="99"/>
      <c r="BA833" s="99"/>
    </row>
    <row r="834" spans="1:53" ht="14.25" customHeight="1" x14ac:dyDescent="0.25">
      <c r="A834" s="124"/>
      <c r="B834" s="124"/>
      <c r="C834" s="124"/>
      <c r="D834" s="158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99"/>
      <c r="AG834" s="99"/>
      <c r="AH834" s="99"/>
      <c r="AI834" s="99"/>
      <c r="AJ834" s="99"/>
      <c r="AK834" s="99"/>
      <c r="AL834" s="99"/>
      <c r="AM834" s="99"/>
      <c r="AN834" s="99"/>
      <c r="AO834" s="99"/>
      <c r="AP834" s="99"/>
      <c r="AQ834" s="99"/>
      <c r="AR834" s="99"/>
      <c r="AS834" s="99"/>
      <c r="AT834" s="99"/>
      <c r="AU834" s="99"/>
      <c r="AV834" s="99"/>
      <c r="AW834" s="99"/>
      <c r="AX834" s="99"/>
      <c r="AY834" s="99"/>
      <c r="AZ834" s="99"/>
      <c r="BA834" s="99"/>
    </row>
    <row r="835" spans="1:53" ht="14.25" customHeight="1" x14ac:dyDescent="0.25">
      <c r="A835" s="124"/>
      <c r="B835" s="124"/>
      <c r="C835" s="124"/>
      <c r="D835" s="158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99"/>
      <c r="AG835" s="99"/>
      <c r="AH835" s="99"/>
      <c r="AI835" s="99"/>
      <c r="AJ835" s="99"/>
      <c r="AK835" s="99"/>
      <c r="AL835" s="99"/>
      <c r="AM835" s="99"/>
      <c r="AN835" s="99"/>
      <c r="AO835" s="99"/>
      <c r="AP835" s="99"/>
      <c r="AQ835" s="99"/>
      <c r="AR835" s="99"/>
      <c r="AS835" s="99"/>
      <c r="AT835" s="99"/>
      <c r="AU835" s="99"/>
      <c r="AV835" s="99"/>
      <c r="AW835" s="99"/>
      <c r="AX835" s="99"/>
      <c r="AY835" s="99"/>
      <c r="AZ835" s="99"/>
      <c r="BA835" s="99"/>
    </row>
    <row r="836" spans="1:53" ht="14.25" customHeight="1" x14ac:dyDescent="0.25">
      <c r="A836" s="124"/>
      <c r="B836" s="124"/>
      <c r="C836" s="124"/>
      <c r="D836" s="158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  <c r="AF836" s="99"/>
      <c r="AG836" s="99"/>
      <c r="AH836" s="99"/>
      <c r="AI836" s="99"/>
      <c r="AJ836" s="99"/>
      <c r="AK836" s="99"/>
      <c r="AL836" s="99"/>
      <c r="AM836" s="99"/>
      <c r="AN836" s="99"/>
      <c r="AO836" s="99"/>
      <c r="AP836" s="99"/>
      <c r="AQ836" s="99"/>
      <c r="AR836" s="99"/>
      <c r="AS836" s="99"/>
      <c r="AT836" s="99"/>
      <c r="AU836" s="99"/>
      <c r="AV836" s="99"/>
      <c r="AW836" s="99"/>
      <c r="AX836" s="99"/>
      <c r="AY836" s="99"/>
      <c r="AZ836" s="99"/>
      <c r="BA836" s="99"/>
    </row>
    <row r="837" spans="1:53" ht="14.25" customHeight="1" x14ac:dyDescent="0.25">
      <c r="A837" s="124"/>
      <c r="B837" s="124"/>
      <c r="C837" s="124"/>
      <c r="D837" s="158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99"/>
      <c r="AG837" s="99"/>
      <c r="AH837" s="99"/>
      <c r="AI837" s="99"/>
      <c r="AJ837" s="99"/>
      <c r="AK837" s="99"/>
      <c r="AL837" s="99"/>
      <c r="AM837" s="99"/>
      <c r="AN837" s="99"/>
      <c r="AO837" s="99"/>
      <c r="AP837" s="99"/>
      <c r="AQ837" s="99"/>
      <c r="AR837" s="99"/>
      <c r="AS837" s="99"/>
      <c r="AT837" s="99"/>
      <c r="AU837" s="99"/>
      <c r="AV837" s="99"/>
      <c r="AW837" s="99"/>
      <c r="AX837" s="99"/>
      <c r="AY837" s="99"/>
      <c r="AZ837" s="99"/>
      <c r="BA837" s="99"/>
    </row>
    <row r="838" spans="1:53" ht="14.25" customHeight="1" x14ac:dyDescent="0.25">
      <c r="A838" s="124"/>
      <c r="B838" s="124"/>
      <c r="C838" s="124"/>
      <c r="D838" s="158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  <c r="AE838" s="99"/>
      <c r="AF838" s="99"/>
      <c r="AG838" s="99"/>
      <c r="AH838" s="99"/>
      <c r="AI838" s="99"/>
      <c r="AJ838" s="99"/>
      <c r="AK838" s="99"/>
      <c r="AL838" s="99"/>
      <c r="AM838" s="99"/>
      <c r="AN838" s="99"/>
      <c r="AO838" s="99"/>
      <c r="AP838" s="99"/>
      <c r="AQ838" s="99"/>
      <c r="AR838" s="99"/>
      <c r="AS838" s="99"/>
      <c r="AT838" s="99"/>
      <c r="AU838" s="99"/>
      <c r="AV838" s="99"/>
      <c r="AW838" s="99"/>
      <c r="AX838" s="99"/>
      <c r="AY838" s="99"/>
      <c r="AZ838" s="99"/>
      <c r="BA838" s="99"/>
    </row>
    <row r="839" spans="1:53" ht="14.25" customHeight="1" x14ac:dyDescent="0.25">
      <c r="A839" s="124"/>
      <c r="B839" s="124"/>
      <c r="C839" s="124"/>
      <c r="D839" s="158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99"/>
      <c r="AG839" s="99"/>
      <c r="AH839" s="99"/>
      <c r="AI839" s="99"/>
      <c r="AJ839" s="99"/>
      <c r="AK839" s="99"/>
      <c r="AL839" s="99"/>
      <c r="AM839" s="99"/>
      <c r="AN839" s="99"/>
      <c r="AO839" s="99"/>
      <c r="AP839" s="99"/>
      <c r="AQ839" s="99"/>
      <c r="AR839" s="99"/>
      <c r="AS839" s="99"/>
      <c r="AT839" s="99"/>
      <c r="AU839" s="99"/>
      <c r="AV839" s="99"/>
      <c r="AW839" s="99"/>
      <c r="AX839" s="99"/>
      <c r="AY839" s="99"/>
      <c r="AZ839" s="99"/>
      <c r="BA839" s="99"/>
    </row>
    <row r="840" spans="1:53" ht="14.25" customHeight="1" x14ac:dyDescent="0.25">
      <c r="A840" s="124"/>
      <c r="B840" s="124"/>
      <c r="C840" s="124"/>
      <c r="D840" s="158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99"/>
      <c r="AG840" s="99"/>
      <c r="AH840" s="99"/>
      <c r="AI840" s="99"/>
      <c r="AJ840" s="99"/>
      <c r="AK840" s="99"/>
      <c r="AL840" s="99"/>
      <c r="AM840" s="99"/>
      <c r="AN840" s="99"/>
      <c r="AO840" s="99"/>
      <c r="AP840" s="99"/>
      <c r="AQ840" s="99"/>
      <c r="AR840" s="99"/>
      <c r="AS840" s="99"/>
      <c r="AT840" s="99"/>
      <c r="AU840" s="99"/>
      <c r="AV840" s="99"/>
      <c r="AW840" s="99"/>
      <c r="AX840" s="99"/>
      <c r="AY840" s="99"/>
      <c r="AZ840" s="99"/>
      <c r="BA840" s="99"/>
    </row>
    <row r="841" spans="1:53" ht="14.25" customHeight="1" x14ac:dyDescent="0.25">
      <c r="A841" s="124"/>
      <c r="B841" s="124"/>
      <c r="C841" s="124"/>
      <c r="D841" s="158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99"/>
      <c r="AG841" s="99"/>
      <c r="AH841" s="99"/>
      <c r="AI841" s="99"/>
      <c r="AJ841" s="99"/>
      <c r="AK841" s="99"/>
      <c r="AL841" s="99"/>
      <c r="AM841" s="99"/>
      <c r="AN841" s="99"/>
      <c r="AO841" s="99"/>
      <c r="AP841" s="99"/>
      <c r="AQ841" s="99"/>
      <c r="AR841" s="99"/>
      <c r="AS841" s="99"/>
      <c r="AT841" s="99"/>
      <c r="AU841" s="99"/>
      <c r="AV841" s="99"/>
      <c r="AW841" s="99"/>
      <c r="AX841" s="99"/>
      <c r="AY841" s="99"/>
      <c r="AZ841" s="99"/>
      <c r="BA841" s="99"/>
    </row>
    <row r="842" spans="1:53" ht="14.25" customHeight="1" x14ac:dyDescent="0.25">
      <c r="A842" s="124"/>
      <c r="B842" s="124"/>
      <c r="C842" s="124"/>
      <c r="D842" s="158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  <c r="AK842" s="99"/>
      <c r="AL842" s="99"/>
      <c r="AM842" s="99"/>
      <c r="AN842" s="99"/>
      <c r="AO842" s="99"/>
      <c r="AP842" s="99"/>
      <c r="AQ842" s="99"/>
      <c r="AR842" s="99"/>
      <c r="AS842" s="99"/>
      <c r="AT842" s="99"/>
      <c r="AU842" s="99"/>
      <c r="AV842" s="99"/>
      <c r="AW842" s="99"/>
      <c r="AX842" s="99"/>
      <c r="AY842" s="99"/>
      <c r="AZ842" s="99"/>
      <c r="BA842" s="99"/>
    </row>
    <row r="843" spans="1:53" ht="14.25" customHeight="1" x14ac:dyDescent="0.25">
      <c r="A843" s="124"/>
      <c r="B843" s="124"/>
      <c r="C843" s="124"/>
      <c r="D843" s="158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99"/>
      <c r="AG843" s="99"/>
      <c r="AH843" s="99"/>
      <c r="AI843" s="99"/>
      <c r="AJ843" s="99"/>
      <c r="AK843" s="99"/>
      <c r="AL843" s="99"/>
      <c r="AM843" s="99"/>
      <c r="AN843" s="99"/>
      <c r="AO843" s="99"/>
      <c r="AP843" s="99"/>
      <c r="AQ843" s="99"/>
      <c r="AR843" s="99"/>
      <c r="AS843" s="99"/>
      <c r="AT843" s="99"/>
      <c r="AU843" s="99"/>
      <c r="AV843" s="99"/>
      <c r="AW843" s="99"/>
      <c r="AX843" s="99"/>
      <c r="AY843" s="99"/>
      <c r="AZ843" s="99"/>
      <c r="BA843" s="99"/>
    </row>
    <row r="844" spans="1:53" ht="14.25" customHeight="1" x14ac:dyDescent="0.25">
      <c r="A844" s="124"/>
      <c r="B844" s="124"/>
      <c r="C844" s="124"/>
      <c r="D844" s="158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99"/>
      <c r="AG844" s="99"/>
      <c r="AH844" s="99"/>
      <c r="AI844" s="99"/>
      <c r="AJ844" s="99"/>
      <c r="AK844" s="99"/>
      <c r="AL844" s="99"/>
      <c r="AM844" s="99"/>
      <c r="AN844" s="99"/>
      <c r="AO844" s="99"/>
      <c r="AP844" s="99"/>
      <c r="AQ844" s="99"/>
      <c r="AR844" s="99"/>
      <c r="AS844" s="99"/>
      <c r="AT844" s="99"/>
      <c r="AU844" s="99"/>
      <c r="AV844" s="99"/>
      <c r="AW844" s="99"/>
      <c r="AX844" s="99"/>
      <c r="AY844" s="99"/>
      <c r="AZ844" s="99"/>
      <c r="BA844" s="99"/>
    </row>
    <row r="845" spans="1:53" ht="14.25" customHeight="1" x14ac:dyDescent="0.25">
      <c r="A845" s="124"/>
      <c r="B845" s="124"/>
      <c r="C845" s="124"/>
      <c r="D845" s="158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99"/>
      <c r="AG845" s="99"/>
      <c r="AH845" s="99"/>
      <c r="AI845" s="99"/>
      <c r="AJ845" s="99"/>
      <c r="AK845" s="99"/>
      <c r="AL845" s="99"/>
      <c r="AM845" s="99"/>
      <c r="AN845" s="99"/>
      <c r="AO845" s="99"/>
      <c r="AP845" s="99"/>
      <c r="AQ845" s="99"/>
      <c r="AR845" s="99"/>
      <c r="AS845" s="99"/>
      <c r="AT845" s="99"/>
      <c r="AU845" s="99"/>
      <c r="AV845" s="99"/>
      <c r="AW845" s="99"/>
      <c r="AX845" s="99"/>
      <c r="AY845" s="99"/>
      <c r="AZ845" s="99"/>
      <c r="BA845" s="99"/>
    </row>
    <row r="846" spans="1:53" ht="14.25" customHeight="1" x14ac:dyDescent="0.25">
      <c r="A846" s="124"/>
      <c r="B846" s="124"/>
      <c r="C846" s="124"/>
      <c r="D846" s="158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99"/>
      <c r="AG846" s="99"/>
      <c r="AH846" s="99"/>
      <c r="AI846" s="99"/>
      <c r="AJ846" s="99"/>
      <c r="AK846" s="99"/>
      <c r="AL846" s="99"/>
      <c r="AM846" s="99"/>
      <c r="AN846" s="99"/>
      <c r="AO846" s="99"/>
      <c r="AP846" s="99"/>
      <c r="AQ846" s="99"/>
      <c r="AR846" s="99"/>
      <c r="AS846" s="99"/>
      <c r="AT846" s="99"/>
      <c r="AU846" s="99"/>
      <c r="AV846" s="99"/>
      <c r="AW846" s="99"/>
      <c r="AX846" s="99"/>
      <c r="AY846" s="99"/>
      <c r="AZ846" s="99"/>
      <c r="BA846" s="99"/>
    </row>
    <row r="847" spans="1:53" ht="14.25" customHeight="1" x14ac:dyDescent="0.25">
      <c r="A847" s="124"/>
      <c r="B847" s="124"/>
      <c r="C847" s="124"/>
      <c r="D847" s="158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99"/>
      <c r="AG847" s="99"/>
      <c r="AH847" s="99"/>
      <c r="AI847" s="99"/>
      <c r="AJ847" s="99"/>
      <c r="AK847" s="99"/>
      <c r="AL847" s="99"/>
      <c r="AM847" s="99"/>
      <c r="AN847" s="99"/>
      <c r="AO847" s="99"/>
      <c r="AP847" s="99"/>
      <c r="AQ847" s="99"/>
      <c r="AR847" s="99"/>
      <c r="AS847" s="99"/>
      <c r="AT847" s="99"/>
      <c r="AU847" s="99"/>
      <c r="AV847" s="99"/>
      <c r="AW847" s="99"/>
      <c r="AX847" s="99"/>
      <c r="AY847" s="99"/>
      <c r="AZ847" s="99"/>
      <c r="BA847" s="99"/>
    </row>
    <row r="848" spans="1:53" ht="14.25" customHeight="1" x14ac:dyDescent="0.25">
      <c r="A848" s="124"/>
      <c r="B848" s="124"/>
      <c r="C848" s="124"/>
      <c r="D848" s="158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99"/>
      <c r="AG848" s="99"/>
      <c r="AH848" s="99"/>
      <c r="AI848" s="99"/>
      <c r="AJ848" s="99"/>
      <c r="AK848" s="99"/>
      <c r="AL848" s="99"/>
      <c r="AM848" s="99"/>
      <c r="AN848" s="99"/>
      <c r="AO848" s="99"/>
      <c r="AP848" s="99"/>
      <c r="AQ848" s="99"/>
      <c r="AR848" s="99"/>
      <c r="AS848" s="99"/>
      <c r="AT848" s="99"/>
      <c r="AU848" s="99"/>
      <c r="AV848" s="99"/>
      <c r="AW848" s="99"/>
      <c r="AX848" s="99"/>
      <c r="AY848" s="99"/>
      <c r="AZ848" s="99"/>
      <c r="BA848" s="99"/>
    </row>
    <row r="849" spans="1:53" ht="14.25" customHeight="1" x14ac:dyDescent="0.25">
      <c r="A849" s="124"/>
      <c r="B849" s="124"/>
      <c r="C849" s="124"/>
      <c r="D849" s="158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99"/>
      <c r="AG849" s="99"/>
      <c r="AH849" s="99"/>
      <c r="AI849" s="99"/>
      <c r="AJ849" s="99"/>
      <c r="AK849" s="99"/>
      <c r="AL849" s="99"/>
      <c r="AM849" s="99"/>
      <c r="AN849" s="99"/>
      <c r="AO849" s="99"/>
      <c r="AP849" s="99"/>
      <c r="AQ849" s="99"/>
      <c r="AR849" s="99"/>
      <c r="AS849" s="99"/>
      <c r="AT849" s="99"/>
      <c r="AU849" s="99"/>
      <c r="AV849" s="99"/>
      <c r="AW849" s="99"/>
      <c r="AX849" s="99"/>
      <c r="AY849" s="99"/>
      <c r="AZ849" s="99"/>
      <c r="BA849" s="99"/>
    </row>
    <row r="850" spans="1:53" ht="14.25" customHeight="1" x14ac:dyDescent="0.25">
      <c r="A850" s="124"/>
      <c r="B850" s="124"/>
      <c r="C850" s="124"/>
      <c r="D850" s="158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99"/>
      <c r="AG850" s="99"/>
      <c r="AH850" s="99"/>
      <c r="AI850" s="99"/>
      <c r="AJ850" s="99"/>
      <c r="AK850" s="99"/>
      <c r="AL850" s="99"/>
      <c r="AM850" s="99"/>
      <c r="AN850" s="99"/>
      <c r="AO850" s="99"/>
      <c r="AP850" s="99"/>
      <c r="AQ850" s="99"/>
      <c r="AR850" s="99"/>
      <c r="AS850" s="99"/>
      <c r="AT850" s="99"/>
      <c r="AU850" s="99"/>
      <c r="AV850" s="99"/>
      <c r="AW850" s="99"/>
      <c r="AX850" s="99"/>
      <c r="AY850" s="99"/>
      <c r="AZ850" s="99"/>
      <c r="BA850" s="99"/>
    </row>
    <row r="851" spans="1:53" ht="14.25" customHeight="1" x14ac:dyDescent="0.25">
      <c r="A851" s="124"/>
      <c r="B851" s="124"/>
      <c r="C851" s="124"/>
      <c r="D851" s="158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99"/>
      <c r="AG851" s="99"/>
      <c r="AH851" s="99"/>
      <c r="AI851" s="99"/>
      <c r="AJ851" s="99"/>
      <c r="AK851" s="99"/>
      <c r="AL851" s="99"/>
      <c r="AM851" s="99"/>
      <c r="AN851" s="99"/>
      <c r="AO851" s="99"/>
      <c r="AP851" s="99"/>
      <c r="AQ851" s="99"/>
      <c r="AR851" s="99"/>
      <c r="AS851" s="99"/>
      <c r="AT851" s="99"/>
      <c r="AU851" s="99"/>
      <c r="AV851" s="99"/>
      <c r="AW851" s="99"/>
      <c r="AX851" s="99"/>
      <c r="AY851" s="99"/>
      <c r="AZ851" s="99"/>
      <c r="BA851" s="99"/>
    </row>
    <row r="852" spans="1:53" ht="14.25" customHeight="1" x14ac:dyDescent="0.25">
      <c r="A852" s="124"/>
      <c r="B852" s="124"/>
      <c r="C852" s="124"/>
      <c r="D852" s="158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99"/>
      <c r="AG852" s="99"/>
      <c r="AH852" s="99"/>
      <c r="AI852" s="99"/>
      <c r="AJ852" s="99"/>
      <c r="AK852" s="99"/>
      <c r="AL852" s="99"/>
      <c r="AM852" s="99"/>
      <c r="AN852" s="99"/>
      <c r="AO852" s="99"/>
      <c r="AP852" s="99"/>
      <c r="AQ852" s="99"/>
      <c r="AR852" s="99"/>
      <c r="AS852" s="99"/>
      <c r="AT852" s="99"/>
      <c r="AU852" s="99"/>
      <c r="AV852" s="99"/>
      <c r="AW852" s="99"/>
      <c r="AX852" s="99"/>
      <c r="AY852" s="99"/>
      <c r="AZ852" s="99"/>
      <c r="BA852" s="99"/>
    </row>
    <row r="853" spans="1:53" ht="14.25" customHeight="1" x14ac:dyDescent="0.25">
      <c r="A853" s="124"/>
      <c r="B853" s="124"/>
      <c r="C853" s="124"/>
      <c r="D853" s="158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99"/>
      <c r="AG853" s="99"/>
      <c r="AH853" s="99"/>
      <c r="AI853" s="99"/>
      <c r="AJ853" s="99"/>
      <c r="AK853" s="99"/>
      <c r="AL853" s="99"/>
      <c r="AM853" s="99"/>
      <c r="AN853" s="99"/>
      <c r="AO853" s="99"/>
      <c r="AP853" s="99"/>
      <c r="AQ853" s="99"/>
      <c r="AR853" s="99"/>
      <c r="AS853" s="99"/>
      <c r="AT853" s="99"/>
      <c r="AU853" s="99"/>
      <c r="AV853" s="99"/>
      <c r="AW853" s="99"/>
      <c r="AX853" s="99"/>
      <c r="AY853" s="99"/>
      <c r="AZ853" s="99"/>
      <c r="BA853" s="99"/>
    </row>
    <row r="854" spans="1:53" ht="14.25" customHeight="1" x14ac:dyDescent="0.25">
      <c r="A854" s="124"/>
      <c r="B854" s="124"/>
      <c r="C854" s="124"/>
      <c r="D854" s="158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99"/>
      <c r="AG854" s="99"/>
      <c r="AH854" s="99"/>
      <c r="AI854" s="99"/>
      <c r="AJ854" s="99"/>
      <c r="AK854" s="99"/>
      <c r="AL854" s="99"/>
      <c r="AM854" s="99"/>
      <c r="AN854" s="99"/>
      <c r="AO854" s="99"/>
      <c r="AP854" s="99"/>
      <c r="AQ854" s="99"/>
      <c r="AR854" s="99"/>
      <c r="AS854" s="99"/>
      <c r="AT854" s="99"/>
      <c r="AU854" s="99"/>
      <c r="AV854" s="99"/>
      <c r="AW854" s="99"/>
      <c r="AX854" s="99"/>
      <c r="AY854" s="99"/>
      <c r="AZ854" s="99"/>
      <c r="BA854" s="99"/>
    </row>
    <row r="855" spans="1:53" ht="14.25" customHeight="1" x14ac:dyDescent="0.25">
      <c r="A855" s="124"/>
      <c r="B855" s="124"/>
      <c r="C855" s="124"/>
      <c r="D855" s="158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99"/>
      <c r="AG855" s="99"/>
      <c r="AH855" s="99"/>
      <c r="AI855" s="99"/>
      <c r="AJ855" s="99"/>
      <c r="AK855" s="99"/>
      <c r="AL855" s="99"/>
      <c r="AM855" s="99"/>
      <c r="AN855" s="99"/>
      <c r="AO855" s="99"/>
      <c r="AP855" s="99"/>
      <c r="AQ855" s="99"/>
      <c r="AR855" s="99"/>
      <c r="AS855" s="99"/>
      <c r="AT855" s="99"/>
      <c r="AU855" s="99"/>
      <c r="AV855" s="99"/>
      <c r="AW855" s="99"/>
      <c r="AX855" s="99"/>
      <c r="AY855" s="99"/>
      <c r="AZ855" s="99"/>
      <c r="BA855" s="99"/>
    </row>
    <row r="856" spans="1:53" ht="14.25" customHeight="1" x14ac:dyDescent="0.25">
      <c r="A856" s="124"/>
      <c r="B856" s="124"/>
      <c r="C856" s="124"/>
      <c r="D856" s="158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99"/>
      <c r="AG856" s="99"/>
      <c r="AH856" s="99"/>
      <c r="AI856" s="99"/>
      <c r="AJ856" s="99"/>
      <c r="AK856" s="99"/>
      <c r="AL856" s="99"/>
      <c r="AM856" s="99"/>
      <c r="AN856" s="99"/>
      <c r="AO856" s="99"/>
      <c r="AP856" s="99"/>
      <c r="AQ856" s="99"/>
      <c r="AR856" s="99"/>
      <c r="AS856" s="99"/>
      <c r="AT856" s="99"/>
      <c r="AU856" s="99"/>
      <c r="AV856" s="99"/>
      <c r="AW856" s="99"/>
      <c r="AX856" s="99"/>
      <c r="AY856" s="99"/>
      <c r="AZ856" s="99"/>
      <c r="BA856" s="99"/>
    </row>
    <row r="857" spans="1:53" ht="14.25" customHeight="1" x14ac:dyDescent="0.25">
      <c r="A857" s="124"/>
      <c r="B857" s="124"/>
      <c r="C857" s="124"/>
      <c r="D857" s="158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99"/>
      <c r="AG857" s="99"/>
      <c r="AH857" s="99"/>
      <c r="AI857" s="99"/>
      <c r="AJ857" s="99"/>
      <c r="AK857" s="99"/>
      <c r="AL857" s="99"/>
      <c r="AM857" s="99"/>
      <c r="AN857" s="99"/>
      <c r="AO857" s="99"/>
      <c r="AP857" s="99"/>
      <c r="AQ857" s="99"/>
      <c r="AR857" s="99"/>
      <c r="AS857" s="99"/>
      <c r="AT857" s="99"/>
      <c r="AU857" s="99"/>
      <c r="AV857" s="99"/>
      <c r="AW857" s="99"/>
      <c r="AX857" s="99"/>
      <c r="AY857" s="99"/>
      <c r="AZ857" s="99"/>
      <c r="BA857" s="99"/>
    </row>
    <row r="858" spans="1:53" ht="14.25" customHeight="1" x14ac:dyDescent="0.25">
      <c r="A858" s="124"/>
      <c r="B858" s="124"/>
      <c r="C858" s="124"/>
      <c r="D858" s="158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99"/>
      <c r="AG858" s="99"/>
      <c r="AH858" s="99"/>
      <c r="AI858" s="99"/>
      <c r="AJ858" s="99"/>
      <c r="AK858" s="99"/>
      <c r="AL858" s="99"/>
      <c r="AM858" s="99"/>
      <c r="AN858" s="99"/>
      <c r="AO858" s="99"/>
      <c r="AP858" s="99"/>
      <c r="AQ858" s="99"/>
      <c r="AR858" s="99"/>
      <c r="AS858" s="99"/>
      <c r="AT858" s="99"/>
      <c r="AU858" s="99"/>
      <c r="AV858" s="99"/>
      <c r="AW858" s="99"/>
      <c r="AX858" s="99"/>
      <c r="AY858" s="99"/>
      <c r="AZ858" s="99"/>
      <c r="BA858" s="99"/>
    </row>
    <row r="859" spans="1:53" ht="14.25" customHeight="1" x14ac:dyDescent="0.25">
      <c r="A859" s="124"/>
      <c r="B859" s="124"/>
      <c r="C859" s="124"/>
      <c r="D859" s="158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99"/>
      <c r="AG859" s="99"/>
      <c r="AH859" s="99"/>
      <c r="AI859" s="99"/>
      <c r="AJ859" s="99"/>
      <c r="AK859" s="99"/>
      <c r="AL859" s="99"/>
      <c r="AM859" s="99"/>
      <c r="AN859" s="99"/>
      <c r="AO859" s="99"/>
      <c r="AP859" s="99"/>
      <c r="AQ859" s="99"/>
      <c r="AR859" s="99"/>
      <c r="AS859" s="99"/>
      <c r="AT859" s="99"/>
      <c r="AU859" s="99"/>
      <c r="AV859" s="99"/>
      <c r="AW859" s="99"/>
      <c r="AX859" s="99"/>
      <c r="AY859" s="99"/>
      <c r="AZ859" s="99"/>
      <c r="BA859" s="99"/>
    </row>
    <row r="860" spans="1:53" ht="14.25" customHeight="1" x14ac:dyDescent="0.25">
      <c r="A860" s="124"/>
      <c r="B860" s="124"/>
      <c r="C860" s="124"/>
      <c r="D860" s="158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99"/>
      <c r="AG860" s="99"/>
      <c r="AH860" s="99"/>
      <c r="AI860" s="99"/>
      <c r="AJ860" s="99"/>
      <c r="AK860" s="99"/>
      <c r="AL860" s="99"/>
      <c r="AM860" s="99"/>
      <c r="AN860" s="99"/>
      <c r="AO860" s="99"/>
      <c r="AP860" s="99"/>
      <c r="AQ860" s="99"/>
      <c r="AR860" s="99"/>
      <c r="AS860" s="99"/>
      <c r="AT860" s="99"/>
      <c r="AU860" s="99"/>
      <c r="AV860" s="99"/>
      <c r="AW860" s="99"/>
      <c r="AX860" s="99"/>
      <c r="AY860" s="99"/>
      <c r="AZ860" s="99"/>
      <c r="BA860" s="99"/>
    </row>
    <row r="861" spans="1:53" ht="14.25" customHeight="1" x14ac:dyDescent="0.25">
      <c r="A861" s="124"/>
      <c r="B861" s="124"/>
      <c r="C861" s="124"/>
      <c r="D861" s="158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99"/>
      <c r="AG861" s="99"/>
      <c r="AH861" s="99"/>
      <c r="AI861" s="99"/>
      <c r="AJ861" s="99"/>
      <c r="AK861" s="99"/>
      <c r="AL861" s="99"/>
      <c r="AM861" s="99"/>
      <c r="AN861" s="99"/>
      <c r="AO861" s="99"/>
      <c r="AP861" s="99"/>
      <c r="AQ861" s="99"/>
      <c r="AR861" s="99"/>
      <c r="AS861" s="99"/>
      <c r="AT861" s="99"/>
      <c r="AU861" s="99"/>
      <c r="AV861" s="99"/>
      <c r="AW861" s="99"/>
      <c r="AX861" s="99"/>
      <c r="AY861" s="99"/>
      <c r="AZ861" s="99"/>
      <c r="BA861" s="99"/>
    </row>
    <row r="862" spans="1:53" ht="14.25" customHeight="1" x14ac:dyDescent="0.25">
      <c r="A862" s="124"/>
      <c r="B862" s="124"/>
      <c r="C862" s="124"/>
      <c r="D862" s="158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99"/>
      <c r="AG862" s="99"/>
      <c r="AH862" s="99"/>
      <c r="AI862" s="99"/>
      <c r="AJ862" s="99"/>
      <c r="AK862" s="99"/>
      <c r="AL862" s="99"/>
      <c r="AM862" s="99"/>
      <c r="AN862" s="99"/>
      <c r="AO862" s="99"/>
      <c r="AP862" s="99"/>
      <c r="AQ862" s="99"/>
      <c r="AR862" s="99"/>
      <c r="AS862" s="99"/>
      <c r="AT862" s="99"/>
      <c r="AU862" s="99"/>
      <c r="AV862" s="99"/>
      <c r="AW862" s="99"/>
      <c r="AX862" s="99"/>
      <c r="AY862" s="99"/>
      <c r="AZ862" s="99"/>
      <c r="BA862" s="99"/>
    </row>
    <row r="863" spans="1:53" ht="14.25" customHeight="1" x14ac:dyDescent="0.25">
      <c r="A863" s="124"/>
      <c r="B863" s="124"/>
      <c r="C863" s="124"/>
      <c r="D863" s="158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99"/>
      <c r="AG863" s="99"/>
      <c r="AH863" s="99"/>
      <c r="AI863" s="99"/>
      <c r="AJ863" s="99"/>
      <c r="AK863" s="99"/>
      <c r="AL863" s="99"/>
      <c r="AM863" s="99"/>
      <c r="AN863" s="99"/>
      <c r="AO863" s="99"/>
      <c r="AP863" s="99"/>
      <c r="AQ863" s="99"/>
      <c r="AR863" s="99"/>
      <c r="AS863" s="99"/>
      <c r="AT863" s="99"/>
      <c r="AU863" s="99"/>
      <c r="AV863" s="99"/>
      <c r="AW863" s="99"/>
      <c r="AX863" s="99"/>
      <c r="AY863" s="99"/>
      <c r="AZ863" s="99"/>
      <c r="BA863" s="99"/>
    </row>
    <row r="864" spans="1:53" ht="14.25" customHeight="1" x14ac:dyDescent="0.25">
      <c r="A864" s="124"/>
      <c r="B864" s="124"/>
      <c r="C864" s="124"/>
      <c r="D864" s="158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99"/>
      <c r="AG864" s="99"/>
      <c r="AH864" s="99"/>
      <c r="AI864" s="99"/>
      <c r="AJ864" s="99"/>
      <c r="AK864" s="99"/>
      <c r="AL864" s="99"/>
      <c r="AM864" s="99"/>
      <c r="AN864" s="99"/>
      <c r="AO864" s="99"/>
      <c r="AP864" s="99"/>
      <c r="AQ864" s="99"/>
      <c r="AR864" s="99"/>
      <c r="AS864" s="99"/>
      <c r="AT864" s="99"/>
      <c r="AU864" s="99"/>
      <c r="AV864" s="99"/>
      <c r="AW864" s="99"/>
      <c r="AX864" s="99"/>
      <c r="AY864" s="99"/>
      <c r="AZ864" s="99"/>
      <c r="BA864" s="99"/>
    </row>
    <row r="865" spans="1:53" ht="14.25" customHeight="1" x14ac:dyDescent="0.25">
      <c r="A865" s="124"/>
      <c r="B865" s="124"/>
      <c r="C865" s="124"/>
      <c r="D865" s="158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99"/>
      <c r="AG865" s="99"/>
      <c r="AH865" s="99"/>
      <c r="AI865" s="99"/>
      <c r="AJ865" s="99"/>
      <c r="AK865" s="99"/>
      <c r="AL865" s="99"/>
      <c r="AM865" s="99"/>
      <c r="AN865" s="99"/>
      <c r="AO865" s="99"/>
      <c r="AP865" s="99"/>
      <c r="AQ865" s="99"/>
      <c r="AR865" s="99"/>
      <c r="AS865" s="99"/>
      <c r="AT865" s="99"/>
      <c r="AU865" s="99"/>
      <c r="AV865" s="99"/>
      <c r="AW865" s="99"/>
      <c r="AX865" s="99"/>
      <c r="AY865" s="99"/>
      <c r="AZ865" s="99"/>
      <c r="BA865" s="99"/>
    </row>
    <row r="866" spans="1:53" ht="14.25" customHeight="1" x14ac:dyDescent="0.25">
      <c r="A866" s="124"/>
      <c r="B866" s="124"/>
      <c r="C866" s="124"/>
      <c r="D866" s="158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99"/>
      <c r="AG866" s="99"/>
      <c r="AH866" s="99"/>
      <c r="AI866" s="99"/>
      <c r="AJ866" s="99"/>
      <c r="AK866" s="99"/>
      <c r="AL866" s="99"/>
      <c r="AM866" s="99"/>
      <c r="AN866" s="99"/>
      <c r="AO866" s="99"/>
      <c r="AP866" s="99"/>
      <c r="AQ866" s="99"/>
      <c r="AR866" s="99"/>
      <c r="AS866" s="99"/>
      <c r="AT866" s="99"/>
      <c r="AU866" s="99"/>
      <c r="AV866" s="99"/>
      <c r="AW866" s="99"/>
      <c r="AX866" s="99"/>
      <c r="AY866" s="99"/>
      <c r="AZ866" s="99"/>
      <c r="BA866" s="99"/>
    </row>
    <row r="867" spans="1:53" ht="14.25" customHeight="1" x14ac:dyDescent="0.25">
      <c r="A867" s="124"/>
      <c r="B867" s="124"/>
      <c r="C867" s="124"/>
      <c r="D867" s="158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99"/>
      <c r="AG867" s="99"/>
      <c r="AH867" s="99"/>
      <c r="AI867" s="99"/>
      <c r="AJ867" s="99"/>
      <c r="AK867" s="99"/>
      <c r="AL867" s="99"/>
      <c r="AM867" s="99"/>
      <c r="AN867" s="99"/>
      <c r="AO867" s="99"/>
      <c r="AP867" s="99"/>
      <c r="AQ867" s="99"/>
      <c r="AR867" s="99"/>
      <c r="AS867" s="99"/>
      <c r="AT867" s="99"/>
      <c r="AU867" s="99"/>
      <c r="AV867" s="99"/>
      <c r="AW867" s="99"/>
      <c r="AX867" s="99"/>
      <c r="AY867" s="99"/>
      <c r="AZ867" s="99"/>
      <c r="BA867" s="99"/>
    </row>
    <row r="868" spans="1:53" ht="14.25" customHeight="1" x14ac:dyDescent="0.25">
      <c r="A868" s="124"/>
      <c r="B868" s="124"/>
      <c r="C868" s="124"/>
      <c r="D868" s="158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99"/>
      <c r="AG868" s="99"/>
      <c r="AH868" s="99"/>
      <c r="AI868" s="99"/>
      <c r="AJ868" s="99"/>
      <c r="AK868" s="99"/>
      <c r="AL868" s="99"/>
      <c r="AM868" s="99"/>
      <c r="AN868" s="99"/>
      <c r="AO868" s="99"/>
      <c r="AP868" s="99"/>
      <c r="AQ868" s="99"/>
      <c r="AR868" s="99"/>
      <c r="AS868" s="99"/>
      <c r="AT868" s="99"/>
      <c r="AU868" s="99"/>
      <c r="AV868" s="99"/>
      <c r="AW868" s="99"/>
      <c r="AX868" s="99"/>
      <c r="AY868" s="99"/>
      <c r="AZ868" s="99"/>
      <c r="BA868" s="99"/>
    </row>
    <row r="869" spans="1:53" ht="14.25" customHeight="1" x14ac:dyDescent="0.25">
      <c r="A869" s="124"/>
      <c r="B869" s="124"/>
      <c r="C869" s="124"/>
      <c r="D869" s="158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99"/>
      <c r="AG869" s="99"/>
      <c r="AH869" s="99"/>
      <c r="AI869" s="99"/>
      <c r="AJ869" s="99"/>
      <c r="AK869" s="99"/>
      <c r="AL869" s="99"/>
      <c r="AM869" s="99"/>
      <c r="AN869" s="99"/>
      <c r="AO869" s="99"/>
      <c r="AP869" s="99"/>
      <c r="AQ869" s="99"/>
      <c r="AR869" s="99"/>
      <c r="AS869" s="99"/>
      <c r="AT869" s="99"/>
      <c r="AU869" s="99"/>
      <c r="AV869" s="99"/>
      <c r="AW869" s="99"/>
      <c r="AX869" s="99"/>
      <c r="AY869" s="99"/>
      <c r="AZ869" s="99"/>
      <c r="BA869" s="99"/>
    </row>
    <row r="870" spans="1:53" ht="14.25" customHeight="1" x14ac:dyDescent="0.25">
      <c r="A870" s="124"/>
      <c r="B870" s="124"/>
      <c r="C870" s="124"/>
      <c r="D870" s="158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99"/>
      <c r="AG870" s="99"/>
      <c r="AH870" s="99"/>
      <c r="AI870" s="99"/>
      <c r="AJ870" s="99"/>
      <c r="AK870" s="99"/>
      <c r="AL870" s="99"/>
      <c r="AM870" s="99"/>
      <c r="AN870" s="99"/>
      <c r="AO870" s="99"/>
      <c r="AP870" s="99"/>
      <c r="AQ870" s="99"/>
      <c r="AR870" s="99"/>
      <c r="AS870" s="99"/>
      <c r="AT870" s="99"/>
      <c r="AU870" s="99"/>
      <c r="AV870" s="99"/>
      <c r="AW870" s="99"/>
      <c r="AX870" s="99"/>
      <c r="AY870" s="99"/>
      <c r="AZ870" s="99"/>
      <c r="BA870" s="99"/>
    </row>
    <row r="871" spans="1:53" ht="14.25" customHeight="1" x14ac:dyDescent="0.25">
      <c r="A871" s="124"/>
      <c r="B871" s="124"/>
      <c r="C871" s="124"/>
      <c r="D871" s="158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99"/>
      <c r="AG871" s="99"/>
      <c r="AH871" s="99"/>
      <c r="AI871" s="99"/>
      <c r="AJ871" s="99"/>
      <c r="AK871" s="99"/>
      <c r="AL871" s="99"/>
      <c r="AM871" s="99"/>
      <c r="AN871" s="99"/>
      <c r="AO871" s="99"/>
      <c r="AP871" s="99"/>
      <c r="AQ871" s="99"/>
      <c r="AR871" s="99"/>
      <c r="AS871" s="99"/>
      <c r="AT871" s="99"/>
      <c r="AU871" s="99"/>
      <c r="AV871" s="99"/>
      <c r="AW871" s="99"/>
      <c r="AX871" s="99"/>
      <c r="AY871" s="99"/>
      <c r="AZ871" s="99"/>
      <c r="BA871" s="99"/>
    </row>
    <row r="872" spans="1:53" ht="14.25" customHeight="1" x14ac:dyDescent="0.25">
      <c r="A872" s="124"/>
      <c r="B872" s="124"/>
      <c r="C872" s="124"/>
      <c r="D872" s="158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99"/>
      <c r="AG872" s="99"/>
      <c r="AH872" s="99"/>
      <c r="AI872" s="99"/>
      <c r="AJ872" s="99"/>
      <c r="AK872" s="99"/>
      <c r="AL872" s="99"/>
      <c r="AM872" s="99"/>
      <c r="AN872" s="99"/>
      <c r="AO872" s="99"/>
      <c r="AP872" s="99"/>
      <c r="AQ872" s="99"/>
      <c r="AR872" s="99"/>
      <c r="AS872" s="99"/>
      <c r="AT872" s="99"/>
      <c r="AU872" s="99"/>
      <c r="AV872" s="99"/>
      <c r="AW872" s="99"/>
      <c r="AX872" s="99"/>
      <c r="AY872" s="99"/>
      <c r="AZ872" s="99"/>
      <c r="BA872" s="99"/>
    </row>
    <row r="873" spans="1:53" ht="14.25" customHeight="1" x14ac:dyDescent="0.25">
      <c r="A873" s="124"/>
      <c r="B873" s="124"/>
      <c r="C873" s="124"/>
      <c r="D873" s="158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99"/>
      <c r="AG873" s="99"/>
      <c r="AH873" s="99"/>
      <c r="AI873" s="99"/>
      <c r="AJ873" s="99"/>
      <c r="AK873" s="99"/>
      <c r="AL873" s="99"/>
      <c r="AM873" s="99"/>
      <c r="AN873" s="99"/>
      <c r="AO873" s="99"/>
      <c r="AP873" s="99"/>
      <c r="AQ873" s="99"/>
      <c r="AR873" s="99"/>
      <c r="AS873" s="99"/>
      <c r="AT873" s="99"/>
      <c r="AU873" s="99"/>
      <c r="AV873" s="99"/>
      <c r="AW873" s="99"/>
      <c r="AX873" s="99"/>
      <c r="AY873" s="99"/>
      <c r="AZ873" s="99"/>
      <c r="BA873" s="99"/>
    </row>
    <row r="874" spans="1:53" ht="14.25" customHeight="1" x14ac:dyDescent="0.25">
      <c r="A874" s="124"/>
      <c r="B874" s="124"/>
      <c r="C874" s="124"/>
      <c r="D874" s="158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99"/>
      <c r="AG874" s="99"/>
      <c r="AH874" s="99"/>
      <c r="AI874" s="99"/>
      <c r="AJ874" s="99"/>
      <c r="AK874" s="99"/>
      <c r="AL874" s="99"/>
      <c r="AM874" s="99"/>
      <c r="AN874" s="99"/>
      <c r="AO874" s="99"/>
      <c r="AP874" s="99"/>
      <c r="AQ874" s="99"/>
      <c r="AR874" s="99"/>
      <c r="AS874" s="99"/>
      <c r="AT874" s="99"/>
      <c r="AU874" s="99"/>
      <c r="AV874" s="99"/>
      <c r="AW874" s="99"/>
      <c r="AX874" s="99"/>
      <c r="AY874" s="99"/>
      <c r="AZ874" s="99"/>
      <c r="BA874" s="99"/>
    </row>
    <row r="875" spans="1:53" ht="14.25" customHeight="1" x14ac:dyDescent="0.25">
      <c r="A875" s="124"/>
      <c r="B875" s="124"/>
      <c r="C875" s="124"/>
      <c r="D875" s="158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99"/>
      <c r="AG875" s="99"/>
      <c r="AH875" s="99"/>
      <c r="AI875" s="99"/>
      <c r="AJ875" s="99"/>
      <c r="AK875" s="99"/>
      <c r="AL875" s="99"/>
      <c r="AM875" s="99"/>
      <c r="AN875" s="99"/>
      <c r="AO875" s="99"/>
      <c r="AP875" s="99"/>
      <c r="AQ875" s="99"/>
      <c r="AR875" s="99"/>
      <c r="AS875" s="99"/>
      <c r="AT875" s="99"/>
      <c r="AU875" s="99"/>
      <c r="AV875" s="99"/>
      <c r="AW875" s="99"/>
      <c r="AX875" s="99"/>
      <c r="AY875" s="99"/>
      <c r="AZ875" s="99"/>
      <c r="BA875" s="99"/>
    </row>
    <row r="876" spans="1:53" ht="14.25" customHeight="1" x14ac:dyDescent="0.25">
      <c r="A876" s="124"/>
      <c r="B876" s="124"/>
      <c r="C876" s="124"/>
      <c r="D876" s="158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99"/>
      <c r="AG876" s="99"/>
      <c r="AH876" s="99"/>
      <c r="AI876" s="99"/>
      <c r="AJ876" s="99"/>
      <c r="AK876" s="99"/>
      <c r="AL876" s="99"/>
      <c r="AM876" s="99"/>
      <c r="AN876" s="99"/>
      <c r="AO876" s="99"/>
      <c r="AP876" s="99"/>
      <c r="AQ876" s="99"/>
      <c r="AR876" s="99"/>
      <c r="AS876" s="99"/>
      <c r="AT876" s="99"/>
      <c r="AU876" s="99"/>
      <c r="AV876" s="99"/>
      <c r="AW876" s="99"/>
      <c r="AX876" s="99"/>
      <c r="AY876" s="99"/>
      <c r="AZ876" s="99"/>
      <c r="BA876" s="99"/>
    </row>
    <row r="877" spans="1:53" ht="14.25" customHeight="1" x14ac:dyDescent="0.25">
      <c r="A877" s="124"/>
      <c r="B877" s="124"/>
      <c r="C877" s="124"/>
      <c r="D877" s="158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99"/>
      <c r="AG877" s="99"/>
      <c r="AH877" s="99"/>
      <c r="AI877" s="99"/>
      <c r="AJ877" s="99"/>
      <c r="AK877" s="99"/>
      <c r="AL877" s="99"/>
      <c r="AM877" s="99"/>
      <c r="AN877" s="99"/>
      <c r="AO877" s="99"/>
      <c r="AP877" s="99"/>
      <c r="AQ877" s="99"/>
      <c r="AR877" s="99"/>
      <c r="AS877" s="99"/>
      <c r="AT877" s="99"/>
      <c r="AU877" s="99"/>
      <c r="AV877" s="99"/>
      <c r="AW877" s="99"/>
      <c r="AX877" s="99"/>
      <c r="AY877" s="99"/>
      <c r="AZ877" s="99"/>
      <c r="BA877" s="99"/>
    </row>
    <row r="878" spans="1:53" ht="14.25" customHeight="1" x14ac:dyDescent="0.25">
      <c r="A878" s="124"/>
      <c r="B878" s="124"/>
      <c r="C878" s="124"/>
      <c r="D878" s="158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99"/>
      <c r="AG878" s="99"/>
      <c r="AH878" s="99"/>
      <c r="AI878" s="99"/>
      <c r="AJ878" s="99"/>
      <c r="AK878" s="99"/>
      <c r="AL878" s="99"/>
      <c r="AM878" s="99"/>
      <c r="AN878" s="99"/>
      <c r="AO878" s="99"/>
      <c r="AP878" s="99"/>
      <c r="AQ878" s="99"/>
      <c r="AR878" s="99"/>
      <c r="AS878" s="99"/>
      <c r="AT878" s="99"/>
      <c r="AU878" s="99"/>
      <c r="AV878" s="99"/>
      <c r="AW878" s="99"/>
      <c r="AX878" s="99"/>
      <c r="AY878" s="99"/>
      <c r="AZ878" s="99"/>
      <c r="BA878" s="99"/>
    </row>
    <row r="879" spans="1:53" ht="14.25" customHeight="1" x14ac:dyDescent="0.25">
      <c r="A879" s="124"/>
      <c r="B879" s="124"/>
      <c r="C879" s="124"/>
      <c r="D879" s="158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99"/>
      <c r="AG879" s="99"/>
      <c r="AH879" s="99"/>
      <c r="AI879" s="99"/>
      <c r="AJ879" s="99"/>
      <c r="AK879" s="99"/>
      <c r="AL879" s="99"/>
      <c r="AM879" s="99"/>
      <c r="AN879" s="99"/>
      <c r="AO879" s="99"/>
      <c r="AP879" s="99"/>
      <c r="AQ879" s="99"/>
      <c r="AR879" s="99"/>
      <c r="AS879" s="99"/>
      <c r="AT879" s="99"/>
      <c r="AU879" s="99"/>
      <c r="AV879" s="99"/>
      <c r="AW879" s="99"/>
      <c r="AX879" s="99"/>
      <c r="AY879" s="99"/>
      <c r="AZ879" s="99"/>
      <c r="BA879" s="99"/>
    </row>
    <row r="880" spans="1:53" ht="14.25" customHeight="1" x14ac:dyDescent="0.25">
      <c r="A880" s="124"/>
      <c r="B880" s="124"/>
      <c r="C880" s="124"/>
      <c r="D880" s="158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99"/>
      <c r="AG880" s="99"/>
      <c r="AH880" s="99"/>
      <c r="AI880" s="99"/>
      <c r="AJ880" s="99"/>
      <c r="AK880" s="99"/>
      <c r="AL880" s="99"/>
      <c r="AM880" s="99"/>
      <c r="AN880" s="99"/>
      <c r="AO880" s="99"/>
      <c r="AP880" s="99"/>
      <c r="AQ880" s="99"/>
      <c r="AR880" s="99"/>
      <c r="AS880" s="99"/>
      <c r="AT880" s="99"/>
      <c r="AU880" s="99"/>
      <c r="AV880" s="99"/>
      <c r="AW880" s="99"/>
      <c r="AX880" s="99"/>
      <c r="AY880" s="99"/>
      <c r="AZ880" s="99"/>
      <c r="BA880" s="99"/>
    </row>
    <row r="881" spans="1:53" ht="14.25" customHeight="1" x14ac:dyDescent="0.25">
      <c r="A881" s="124"/>
      <c r="B881" s="124"/>
      <c r="C881" s="124"/>
      <c r="D881" s="158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99"/>
      <c r="AG881" s="99"/>
      <c r="AH881" s="99"/>
      <c r="AI881" s="99"/>
      <c r="AJ881" s="99"/>
      <c r="AK881" s="99"/>
      <c r="AL881" s="99"/>
      <c r="AM881" s="99"/>
      <c r="AN881" s="99"/>
      <c r="AO881" s="99"/>
      <c r="AP881" s="99"/>
      <c r="AQ881" s="99"/>
      <c r="AR881" s="99"/>
      <c r="AS881" s="99"/>
      <c r="AT881" s="99"/>
      <c r="AU881" s="99"/>
      <c r="AV881" s="99"/>
      <c r="AW881" s="99"/>
      <c r="AX881" s="99"/>
      <c r="AY881" s="99"/>
      <c r="AZ881" s="99"/>
      <c r="BA881" s="99"/>
    </row>
    <row r="882" spans="1:53" ht="14.25" customHeight="1" x14ac:dyDescent="0.25">
      <c r="A882" s="124"/>
      <c r="B882" s="124"/>
      <c r="C882" s="124"/>
      <c r="D882" s="158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99"/>
      <c r="AG882" s="99"/>
      <c r="AH882" s="99"/>
      <c r="AI882" s="99"/>
      <c r="AJ882" s="99"/>
      <c r="AK882" s="99"/>
      <c r="AL882" s="99"/>
      <c r="AM882" s="99"/>
      <c r="AN882" s="99"/>
      <c r="AO882" s="99"/>
      <c r="AP882" s="99"/>
      <c r="AQ882" s="99"/>
      <c r="AR882" s="99"/>
      <c r="AS882" s="99"/>
      <c r="AT882" s="99"/>
      <c r="AU882" s="99"/>
      <c r="AV882" s="99"/>
      <c r="AW882" s="99"/>
      <c r="AX882" s="99"/>
      <c r="AY882" s="99"/>
      <c r="AZ882" s="99"/>
      <c r="BA882" s="99"/>
    </row>
    <row r="883" spans="1:53" ht="14.25" customHeight="1" x14ac:dyDescent="0.25">
      <c r="A883" s="124"/>
      <c r="B883" s="124"/>
      <c r="C883" s="124"/>
      <c r="D883" s="158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99"/>
      <c r="AG883" s="99"/>
      <c r="AH883" s="99"/>
      <c r="AI883" s="99"/>
      <c r="AJ883" s="99"/>
      <c r="AK883" s="99"/>
      <c r="AL883" s="99"/>
      <c r="AM883" s="99"/>
      <c r="AN883" s="99"/>
      <c r="AO883" s="99"/>
      <c r="AP883" s="99"/>
      <c r="AQ883" s="99"/>
      <c r="AR883" s="99"/>
      <c r="AS883" s="99"/>
      <c r="AT883" s="99"/>
      <c r="AU883" s="99"/>
      <c r="AV883" s="99"/>
      <c r="AW883" s="99"/>
      <c r="AX883" s="99"/>
      <c r="AY883" s="99"/>
      <c r="AZ883" s="99"/>
      <c r="BA883" s="99"/>
    </row>
    <row r="884" spans="1:53" ht="14.25" customHeight="1" x14ac:dyDescent="0.25">
      <c r="A884" s="124"/>
      <c r="B884" s="124"/>
      <c r="C884" s="124"/>
      <c r="D884" s="158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99"/>
      <c r="AG884" s="99"/>
      <c r="AH884" s="99"/>
      <c r="AI884" s="99"/>
      <c r="AJ884" s="99"/>
      <c r="AK884" s="99"/>
      <c r="AL884" s="99"/>
      <c r="AM884" s="99"/>
      <c r="AN884" s="99"/>
      <c r="AO884" s="99"/>
      <c r="AP884" s="99"/>
      <c r="AQ884" s="99"/>
      <c r="AR884" s="99"/>
      <c r="AS884" s="99"/>
      <c r="AT884" s="99"/>
      <c r="AU884" s="99"/>
      <c r="AV884" s="99"/>
      <c r="AW884" s="99"/>
      <c r="AX884" s="99"/>
      <c r="AY884" s="99"/>
      <c r="AZ884" s="99"/>
      <c r="BA884" s="99"/>
    </row>
    <row r="885" spans="1:53" ht="14.25" customHeight="1" x14ac:dyDescent="0.25">
      <c r="A885" s="124"/>
      <c r="B885" s="124"/>
      <c r="C885" s="124"/>
      <c r="D885" s="158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99"/>
      <c r="AG885" s="99"/>
      <c r="AH885" s="99"/>
      <c r="AI885" s="99"/>
      <c r="AJ885" s="99"/>
      <c r="AK885" s="99"/>
      <c r="AL885" s="99"/>
      <c r="AM885" s="99"/>
      <c r="AN885" s="99"/>
      <c r="AO885" s="99"/>
      <c r="AP885" s="99"/>
      <c r="AQ885" s="99"/>
      <c r="AR885" s="99"/>
      <c r="AS885" s="99"/>
      <c r="AT885" s="99"/>
      <c r="AU885" s="99"/>
      <c r="AV885" s="99"/>
      <c r="AW885" s="99"/>
      <c r="AX885" s="99"/>
      <c r="AY885" s="99"/>
      <c r="AZ885" s="99"/>
      <c r="BA885" s="99"/>
    </row>
    <row r="886" spans="1:53" ht="14.25" customHeight="1" x14ac:dyDescent="0.25">
      <c r="A886" s="124"/>
      <c r="B886" s="124"/>
      <c r="C886" s="124"/>
      <c r="D886" s="158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99"/>
      <c r="AG886" s="99"/>
      <c r="AH886" s="99"/>
      <c r="AI886" s="99"/>
      <c r="AJ886" s="99"/>
      <c r="AK886" s="99"/>
      <c r="AL886" s="99"/>
      <c r="AM886" s="99"/>
      <c r="AN886" s="99"/>
      <c r="AO886" s="99"/>
      <c r="AP886" s="99"/>
      <c r="AQ886" s="99"/>
      <c r="AR886" s="99"/>
      <c r="AS886" s="99"/>
      <c r="AT886" s="99"/>
      <c r="AU886" s="99"/>
      <c r="AV886" s="99"/>
      <c r="AW886" s="99"/>
      <c r="AX886" s="99"/>
      <c r="AY886" s="99"/>
      <c r="AZ886" s="99"/>
      <c r="BA886" s="99"/>
    </row>
    <row r="887" spans="1:53" ht="14.25" customHeight="1" x14ac:dyDescent="0.25">
      <c r="A887" s="124"/>
      <c r="B887" s="124"/>
      <c r="C887" s="124"/>
      <c r="D887" s="158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99"/>
      <c r="AG887" s="99"/>
      <c r="AH887" s="99"/>
      <c r="AI887" s="99"/>
      <c r="AJ887" s="99"/>
      <c r="AK887" s="99"/>
      <c r="AL887" s="99"/>
      <c r="AM887" s="99"/>
      <c r="AN887" s="99"/>
      <c r="AO887" s="99"/>
      <c r="AP887" s="99"/>
      <c r="AQ887" s="99"/>
      <c r="AR887" s="99"/>
      <c r="AS887" s="99"/>
      <c r="AT887" s="99"/>
      <c r="AU887" s="99"/>
      <c r="AV887" s="99"/>
      <c r="AW887" s="99"/>
      <c r="AX887" s="99"/>
      <c r="AY887" s="99"/>
      <c r="AZ887" s="99"/>
      <c r="BA887" s="99"/>
    </row>
    <row r="888" spans="1:53" ht="14.25" customHeight="1" x14ac:dyDescent="0.25">
      <c r="A888" s="124"/>
      <c r="B888" s="124"/>
      <c r="C888" s="124"/>
      <c r="D888" s="158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99"/>
      <c r="AG888" s="99"/>
      <c r="AH888" s="99"/>
      <c r="AI888" s="99"/>
      <c r="AJ888" s="99"/>
      <c r="AK888" s="99"/>
      <c r="AL888" s="99"/>
      <c r="AM888" s="99"/>
      <c r="AN888" s="99"/>
      <c r="AO888" s="99"/>
      <c r="AP888" s="99"/>
      <c r="AQ888" s="99"/>
      <c r="AR888" s="99"/>
      <c r="AS888" s="99"/>
      <c r="AT888" s="99"/>
      <c r="AU888" s="99"/>
      <c r="AV888" s="99"/>
      <c r="AW888" s="99"/>
      <c r="AX888" s="99"/>
      <c r="AY888" s="99"/>
      <c r="AZ888" s="99"/>
      <c r="BA888" s="99"/>
    </row>
    <row r="889" spans="1:53" ht="14.25" customHeight="1" x14ac:dyDescent="0.25">
      <c r="A889" s="124"/>
      <c r="B889" s="124"/>
      <c r="C889" s="124"/>
      <c r="D889" s="158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99"/>
      <c r="AG889" s="99"/>
      <c r="AH889" s="99"/>
      <c r="AI889" s="99"/>
      <c r="AJ889" s="99"/>
      <c r="AK889" s="99"/>
      <c r="AL889" s="99"/>
      <c r="AM889" s="99"/>
      <c r="AN889" s="99"/>
      <c r="AO889" s="99"/>
      <c r="AP889" s="99"/>
      <c r="AQ889" s="99"/>
      <c r="AR889" s="99"/>
      <c r="AS889" s="99"/>
      <c r="AT889" s="99"/>
      <c r="AU889" s="99"/>
      <c r="AV889" s="99"/>
      <c r="AW889" s="99"/>
      <c r="AX889" s="99"/>
      <c r="AY889" s="99"/>
      <c r="AZ889" s="99"/>
      <c r="BA889" s="99"/>
    </row>
    <row r="890" spans="1:53" ht="14.25" customHeight="1" x14ac:dyDescent="0.25">
      <c r="A890" s="124"/>
      <c r="B890" s="124"/>
      <c r="C890" s="124"/>
      <c r="D890" s="158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99"/>
      <c r="AG890" s="99"/>
      <c r="AH890" s="99"/>
      <c r="AI890" s="99"/>
      <c r="AJ890" s="99"/>
      <c r="AK890" s="99"/>
      <c r="AL890" s="99"/>
      <c r="AM890" s="99"/>
      <c r="AN890" s="99"/>
      <c r="AO890" s="99"/>
      <c r="AP890" s="99"/>
      <c r="AQ890" s="99"/>
      <c r="AR890" s="99"/>
      <c r="AS890" s="99"/>
      <c r="AT890" s="99"/>
      <c r="AU890" s="99"/>
      <c r="AV890" s="99"/>
      <c r="AW890" s="99"/>
      <c r="AX890" s="99"/>
      <c r="AY890" s="99"/>
      <c r="AZ890" s="99"/>
      <c r="BA890" s="99"/>
    </row>
    <row r="891" spans="1:53" ht="14.25" customHeight="1" x14ac:dyDescent="0.25">
      <c r="A891" s="124"/>
      <c r="B891" s="124"/>
      <c r="C891" s="124"/>
      <c r="D891" s="158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99"/>
      <c r="AG891" s="99"/>
      <c r="AH891" s="99"/>
      <c r="AI891" s="99"/>
      <c r="AJ891" s="99"/>
      <c r="AK891" s="99"/>
      <c r="AL891" s="99"/>
      <c r="AM891" s="99"/>
      <c r="AN891" s="99"/>
      <c r="AO891" s="99"/>
      <c r="AP891" s="99"/>
      <c r="AQ891" s="99"/>
      <c r="AR891" s="99"/>
      <c r="AS891" s="99"/>
      <c r="AT891" s="99"/>
      <c r="AU891" s="99"/>
      <c r="AV891" s="99"/>
      <c r="AW891" s="99"/>
      <c r="AX891" s="99"/>
      <c r="AY891" s="99"/>
      <c r="AZ891" s="99"/>
      <c r="BA891" s="99"/>
    </row>
    <row r="892" spans="1:53" ht="14.25" customHeight="1" x14ac:dyDescent="0.25">
      <c r="A892" s="124"/>
      <c r="B892" s="124"/>
      <c r="C892" s="124"/>
      <c r="D892" s="158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99"/>
      <c r="AG892" s="99"/>
      <c r="AH892" s="99"/>
      <c r="AI892" s="99"/>
      <c r="AJ892" s="99"/>
      <c r="AK892" s="99"/>
      <c r="AL892" s="99"/>
      <c r="AM892" s="99"/>
      <c r="AN892" s="99"/>
      <c r="AO892" s="99"/>
      <c r="AP892" s="99"/>
      <c r="AQ892" s="99"/>
      <c r="AR892" s="99"/>
      <c r="AS892" s="99"/>
      <c r="AT892" s="99"/>
      <c r="AU892" s="99"/>
      <c r="AV892" s="99"/>
      <c r="AW892" s="99"/>
      <c r="AX892" s="99"/>
      <c r="AY892" s="99"/>
      <c r="AZ892" s="99"/>
      <c r="BA892" s="99"/>
    </row>
    <row r="893" spans="1:53" ht="14.25" customHeight="1" x14ac:dyDescent="0.25">
      <c r="A893" s="124"/>
      <c r="B893" s="124"/>
      <c r="C893" s="124"/>
      <c r="D893" s="158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99"/>
      <c r="AG893" s="99"/>
      <c r="AH893" s="99"/>
      <c r="AI893" s="99"/>
      <c r="AJ893" s="99"/>
      <c r="AK893" s="99"/>
      <c r="AL893" s="99"/>
      <c r="AM893" s="99"/>
      <c r="AN893" s="99"/>
      <c r="AO893" s="99"/>
      <c r="AP893" s="99"/>
      <c r="AQ893" s="99"/>
      <c r="AR893" s="99"/>
      <c r="AS893" s="99"/>
      <c r="AT893" s="99"/>
      <c r="AU893" s="99"/>
      <c r="AV893" s="99"/>
      <c r="AW893" s="99"/>
      <c r="AX893" s="99"/>
      <c r="AY893" s="99"/>
      <c r="AZ893" s="99"/>
      <c r="BA893" s="99"/>
    </row>
    <row r="894" spans="1:53" ht="14.25" customHeight="1" x14ac:dyDescent="0.25">
      <c r="A894" s="124"/>
      <c r="B894" s="124"/>
      <c r="C894" s="124"/>
      <c r="D894" s="158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99"/>
      <c r="AG894" s="99"/>
      <c r="AH894" s="99"/>
      <c r="AI894" s="99"/>
      <c r="AJ894" s="99"/>
      <c r="AK894" s="99"/>
      <c r="AL894" s="99"/>
      <c r="AM894" s="99"/>
      <c r="AN894" s="99"/>
      <c r="AO894" s="99"/>
      <c r="AP894" s="99"/>
      <c r="AQ894" s="99"/>
      <c r="AR894" s="99"/>
      <c r="AS894" s="99"/>
      <c r="AT894" s="99"/>
      <c r="AU894" s="99"/>
      <c r="AV894" s="99"/>
      <c r="AW894" s="99"/>
      <c r="AX894" s="99"/>
      <c r="AY894" s="99"/>
      <c r="AZ894" s="99"/>
      <c r="BA894" s="99"/>
    </row>
    <row r="895" spans="1:53" ht="14.25" customHeight="1" x14ac:dyDescent="0.25">
      <c r="A895" s="124"/>
      <c r="B895" s="124"/>
      <c r="C895" s="124"/>
      <c r="D895" s="158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99"/>
      <c r="AG895" s="99"/>
      <c r="AH895" s="99"/>
      <c r="AI895" s="99"/>
      <c r="AJ895" s="99"/>
      <c r="AK895" s="99"/>
      <c r="AL895" s="99"/>
      <c r="AM895" s="99"/>
      <c r="AN895" s="99"/>
      <c r="AO895" s="99"/>
      <c r="AP895" s="99"/>
      <c r="AQ895" s="99"/>
      <c r="AR895" s="99"/>
      <c r="AS895" s="99"/>
      <c r="AT895" s="99"/>
      <c r="AU895" s="99"/>
      <c r="AV895" s="99"/>
      <c r="AW895" s="99"/>
      <c r="AX895" s="99"/>
      <c r="AY895" s="99"/>
      <c r="AZ895" s="99"/>
      <c r="BA895" s="99"/>
    </row>
    <row r="896" spans="1:53" ht="14.25" customHeight="1" x14ac:dyDescent="0.25">
      <c r="A896" s="124"/>
      <c r="B896" s="124"/>
      <c r="C896" s="124"/>
      <c r="D896" s="158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99"/>
      <c r="AG896" s="99"/>
      <c r="AH896" s="99"/>
      <c r="AI896" s="99"/>
      <c r="AJ896" s="99"/>
      <c r="AK896" s="99"/>
      <c r="AL896" s="99"/>
      <c r="AM896" s="99"/>
      <c r="AN896" s="99"/>
      <c r="AO896" s="99"/>
      <c r="AP896" s="99"/>
      <c r="AQ896" s="99"/>
      <c r="AR896" s="99"/>
      <c r="AS896" s="99"/>
      <c r="AT896" s="99"/>
      <c r="AU896" s="99"/>
      <c r="AV896" s="99"/>
      <c r="AW896" s="99"/>
      <c r="AX896" s="99"/>
      <c r="AY896" s="99"/>
      <c r="AZ896" s="99"/>
      <c r="BA896" s="99"/>
    </row>
    <row r="897" spans="1:53" ht="14.25" customHeight="1" x14ac:dyDescent="0.25">
      <c r="A897" s="124"/>
      <c r="B897" s="124"/>
      <c r="C897" s="124"/>
      <c r="D897" s="158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99"/>
      <c r="AG897" s="99"/>
      <c r="AH897" s="99"/>
      <c r="AI897" s="99"/>
      <c r="AJ897" s="99"/>
      <c r="AK897" s="99"/>
      <c r="AL897" s="99"/>
      <c r="AM897" s="99"/>
      <c r="AN897" s="99"/>
      <c r="AO897" s="99"/>
      <c r="AP897" s="99"/>
      <c r="AQ897" s="99"/>
      <c r="AR897" s="99"/>
      <c r="AS897" s="99"/>
      <c r="AT897" s="99"/>
      <c r="AU897" s="99"/>
      <c r="AV897" s="99"/>
      <c r="AW897" s="99"/>
      <c r="AX897" s="99"/>
      <c r="AY897" s="99"/>
      <c r="AZ897" s="99"/>
      <c r="BA897" s="99"/>
    </row>
    <row r="898" spans="1:53" ht="14.25" customHeight="1" x14ac:dyDescent="0.25">
      <c r="A898" s="124"/>
      <c r="B898" s="124"/>
      <c r="C898" s="124"/>
      <c r="D898" s="158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99"/>
      <c r="AG898" s="99"/>
      <c r="AH898" s="99"/>
      <c r="AI898" s="99"/>
      <c r="AJ898" s="99"/>
      <c r="AK898" s="99"/>
      <c r="AL898" s="99"/>
      <c r="AM898" s="99"/>
      <c r="AN898" s="99"/>
      <c r="AO898" s="99"/>
      <c r="AP898" s="99"/>
      <c r="AQ898" s="99"/>
      <c r="AR898" s="99"/>
      <c r="AS898" s="99"/>
      <c r="AT898" s="99"/>
      <c r="AU898" s="99"/>
      <c r="AV898" s="99"/>
      <c r="AW898" s="99"/>
      <c r="AX898" s="99"/>
      <c r="AY898" s="99"/>
      <c r="AZ898" s="99"/>
      <c r="BA898" s="99"/>
    </row>
    <row r="899" spans="1:53" ht="14.25" customHeight="1" x14ac:dyDescent="0.25">
      <c r="A899" s="124"/>
      <c r="B899" s="124"/>
      <c r="C899" s="124"/>
      <c r="D899" s="158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99"/>
      <c r="AG899" s="99"/>
      <c r="AH899" s="99"/>
      <c r="AI899" s="99"/>
      <c r="AJ899" s="99"/>
      <c r="AK899" s="99"/>
      <c r="AL899" s="99"/>
      <c r="AM899" s="99"/>
      <c r="AN899" s="99"/>
      <c r="AO899" s="99"/>
      <c r="AP899" s="99"/>
      <c r="AQ899" s="99"/>
      <c r="AR899" s="99"/>
      <c r="AS899" s="99"/>
      <c r="AT899" s="99"/>
      <c r="AU899" s="99"/>
      <c r="AV899" s="99"/>
      <c r="AW899" s="99"/>
      <c r="AX899" s="99"/>
      <c r="AY899" s="99"/>
      <c r="AZ899" s="99"/>
      <c r="BA899" s="99"/>
    </row>
    <row r="900" spans="1:53" ht="14.25" customHeight="1" x14ac:dyDescent="0.25">
      <c r="A900" s="124"/>
      <c r="B900" s="124"/>
      <c r="C900" s="124"/>
      <c r="D900" s="158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99"/>
      <c r="AG900" s="99"/>
      <c r="AH900" s="99"/>
      <c r="AI900" s="99"/>
      <c r="AJ900" s="99"/>
      <c r="AK900" s="99"/>
      <c r="AL900" s="99"/>
      <c r="AM900" s="99"/>
      <c r="AN900" s="99"/>
      <c r="AO900" s="99"/>
      <c r="AP900" s="99"/>
      <c r="AQ900" s="99"/>
      <c r="AR900" s="99"/>
      <c r="AS900" s="99"/>
      <c r="AT900" s="99"/>
      <c r="AU900" s="99"/>
      <c r="AV900" s="99"/>
      <c r="AW900" s="99"/>
      <c r="AX900" s="99"/>
      <c r="AY900" s="99"/>
      <c r="AZ900" s="99"/>
      <c r="BA900" s="99"/>
    </row>
    <row r="901" spans="1:53" ht="14.25" customHeight="1" x14ac:dyDescent="0.25">
      <c r="A901" s="124"/>
      <c r="B901" s="124"/>
      <c r="C901" s="124"/>
      <c r="D901" s="158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99"/>
      <c r="AG901" s="99"/>
      <c r="AH901" s="99"/>
      <c r="AI901" s="99"/>
      <c r="AJ901" s="99"/>
      <c r="AK901" s="99"/>
      <c r="AL901" s="99"/>
      <c r="AM901" s="99"/>
      <c r="AN901" s="99"/>
      <c r="AO901" s="99"/>
      <c r="AP901" s="99"/>
      <c r="AQ901" s="99"/>
      <c r="AR901" s="99"/>
      <c r="AS901" s="99"/>
      <c r="AT901" s="99"/>
      <c r="AU901" s="99"/>
      <c r="AV901" s="99"/>
      <c r="AW901" s="99"/>
      <c r="AX901" s="99"/>
      <c r="AY901" s="99"/>
      <c r="AZ901" s="99"/>
      <c r="BA901" s="99"/>
    </row>
    <row r="902" spans="1:53" ht="14.25" customHeight="1" x14ac:dyDescent="0.25">
      <c r="A902" s="124"/>
      <c r="B902" s="124"/>
      <c r="C902" s="124"/>
      <c r="D902" s="158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99"/>
      <c r="AG902" s="99"/>
      <c r="AH902" s="99"/>
      <c r="AI902" s="99"/>
      <c r="AJ902" s="99"/>
      <c r="AK902" s="99"/>
      <c r="AL902" s="99"/>
      <c r="AM902" s="99"/>
      <c r="AN902" s="99"/>
      <c r="AO902" s="99"/>
      <c r="AP902" s="99"/>
      <c r="AQ902" s="99"/>
      <c r="AR902" s="99"/>
      <c r="AS902" s="99"/>
      <c r="AT902" s="99"/>
      <c r="AU902" s="99"/>
      <c r="AV902" s="99"/>
      <c r="AW902" s="99"/>
      <c r="AX902" s="99"/>
      <c r="AY902" s="99"/>
      <c r="AZ902" s="99"/>
      <c r="BA902" s="99"/>
    </row>
    <row r="903" spans="1:53" ht="14.25" customHeight="1" x14ac:dyDescent="0.25">
      <c r="A903" s="124"/>
      <c r="B903" s="124"/>
      <c r="C903" s="124"/>
      <c r="D903" s="158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99"/>
      <c r="AG903" s="99"/>
      <c r="AH903" s="99"/>
      <c r="AI903" s="99"/>
      <c r="AJ903" s="99"/>
      <c r="AK903" s="99"/>
      <c r="AL903" s="99"/>
      <c r="AM903" s="99"/>
      <c r="AN903" s="99"/>
      <c r="AO903" s="99"/>
      <c r="AP903" s="99"/>
      <c r="AQ903" s="99"/>
      <c r="AR903" s="99"/>
      <c r="AS903" s="99"/>
      <c r="AT903" s="99"/>
      <c r="AU903" s="99"/>
      <c r="AV903" s="99"/>
      <c r="AW903" s="99"/>
      <c r="AX903" s="99"/>
      <c r="AY903" s="99"/>
      <c r="AZ903" s="99"/>
      <c r="BA903" s="99"/>
    </row>
    <row r="904" spans="1:53" ht="14.25" customHeight="1" x14ac:dyDescent="0.25">
      <c r="A904" s="124"/>
      <c r="B904" s="124"/>
      <c r="C904" s="124"/>
      <c r="D904" s="158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99"/>
      <c r="AG904" s="99"/>
      <c r="AH904" s="99"/>
      <c r="AI904" s="99"/>
      <c r="AJ904" s="99"/>
      <c r="AK904" s="99"/>
      <c r="AL904" s="99"/>
      <c r="AM904" s="99"/>
      <c r="AN904" s="99"/>
      <c r="AO904" s="99"/>
      <c r="AP904" s="99"/>
      <c r="AQ904" s="99"/>
      <c r="AR904" s="99"/>
      <c r="AS904" s="99"/>
      <c r="AT904" s="99"/>
      <c r="AU904" s="99"/>
      <c r="AV904" s="99"/>
      <c r="AW904" s="99"/>
      <c r="AX904" s="99"/>
      <c r="AY904" s="99"/>
      <c r="AZ904" s="99"/>
      <c r="BA904" s="99"/>
    </row>
    <row r="905" spans="1:53" ht="14.25" customHeight="1" x14ac:dyDescent="0.25">
      <c r="A905" s="124"/>
      <c r="B905" s="124"/>
      <c r="C905" s="124"/>
      <c r="D905" s="158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99"/>
      <c r="AG905" s="99"/>
      <c r="AH905" s="99"/>
      <c r="AI905" s="99"/>
      <c r="AJ905" s="99"/>
      <c r="AK905" s="99"/>
      <c r="AL905" s="99"/>
      <c r="AM905" s="99"/>
      <c r="AN905" s="99"/>
      <c r="AO905" s="99"/>
      <c r="AP905" s="99"/>
      <c r="AQ905" s="99"/>
      <c r="AR905" s="99"/>
      <c r="AS905" s="99"/>
      <c r="AT905" s="99"/>
      <c r="AU905" s="99"/>
      <c r="AV905" s="99"/>
      <c r="AW905" s="99"/>
      <c r="AX905" s="99"/>
      <c r="AY905" s="99"/>
      <c r="AZ905" s="99"/>
      <c r="BA905" s="99"/>
    </row>
    <row r="906" spans="1:53" ht="14.25" customHeight="1" x14ac:dyDescent="0.25">
      <c r="A906" s="124"/>
      <c r="B906" s="124"/>
      <c r="C906" s="124"/>
      <c r="D906" s="158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99"/>
      <c r="AG906" s="99"/>
      <c r="AH906" s="99"/>
      <c r="AI906" s="99"/>
      <c r="AJ906" s="99"/>
      <c r="AK906" s="99"/>
      <c r="AL906" s="99"/>
      <c r="AM906" s="99"/>
      <c r="AN906" s="99"/>
      <c r="AO906" s="99"/>
      <c r="AP906" s="99"/>
      <c r="AQ906" s="99"/>
      <c r="AR906" s="99"/>
      <c r="AS906" s="99"/>
      <c r="AT906" s="99"/>
      <c r="AU906" s="99"/>
      <c r="AV906" s="99"/>
      <c r="AW906" s="99"/>
      <c r="AX906" s="99"/>
      <c r="AY906" s="99"/>
      <c r="AZ906" s="99"/>
      <c r="BA906" s="99"/>
    </row>
    <row r="907" spans="1:53" ht="14.25" customHeight="1" x14ac:dyDescent="0.25">
      <c r="A907" s="124"/>
      <c r="B907" s="124"/>
      <c r="C907" s="124"/>
      <c r="D907" s="158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99"/>
      <c r="AG907" s="99"/>
      <c r="AH907" s="99"/>
      <c r="AI907" s="99"/>
      <c r="AJ907" s="99"/>
      <c r="AK907" s="99"/>
      <c r="AL907" s="99"/>
      <c r="AM907" s="99"/>
      <c r="AN907" s="99"/>
      <c r="AO907" s="99"/>
      <c r="AP907" s="99"/>
      <c r="AQ907" s="99"/>
      <c r="AR907" s="99"/>
      <c r="AS907" s="99"/>
      <c r="AT907" s="99"/>
      <c r="AU907" s="99"/>
      <c r="AV907" s="99"/>
      <c r="AW907" s="99"/>
      <c r="AX907" s="99"/>
      <c r="AY907" s="99"/>
      <c r="AZ907" s="99"/>
      <c r="BA907" s="99"/>
    </row>
    <row r="908" spans="1:53" ht="14.25" customHeight="1" x14ac:dyDescent="0.25">
      <c r="A908" s="124"/>
      <c r="B908" s="124"/>
      <c r="C908" s="124"/>
      <c r="D908" s="158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99"/>
      <c r="AG908" s="99"/>
      <c r="AH908" s="99"/>
      <c r="AI908" s="99"/>
      <c r="AJ908" s="99"/>
      <c r="AK908" s="99"/>
      <c r="AL908" s="99"/>
      <c r="AM908" s="99"/>
      <c r="AN908" s="99"/>
      <c r="AO908" s="99"/>
      <c r="AP908" s="99"/>
      <c r="AQ908" s="99"/>
      <c r="AR908" s="99"/>
      <c r="AS908" s="99"/>
      <c r="AT908" s="99"/>
      <c r="AU908" s="99"/>
      <c r="AV908" s="99"/>
      <c r="AW908" s="99"/>
      <c r="AX908" s="99"/>
      <c r="AY908" s="99"/>
      <c r="AZ908" s="99"/>
      <c r="BA908" s="99"/>
    </row>
    <row r="909" spans="1:53" ht="14.25" customHeight="1" x14ac:dyDescent="0.25">
      <c r="A909" s="124"/>
      <c r="B909" s="124"/>
      <c r="C909" s="124"/>
      <c r="D909" s="158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99"/>
      <c r="AG909" s="99"/>
      <c r="AH909" s="99"/>
      <c r="AI909" s="99"/>
      <c r="AJ909" s="99"/>
      <c r="AK909" s="99"/>
      <c r="AL909" s="99"/>
      <c r="AM909" s="99"/>
      <c r="AN909" s="99"/>
      <c r="AO909" s="99"/>
      <c r="AP909" s="99"/>
      <c r="AQ909" s="99"/>
      <c r="AR909" s="99"/>
      <c r="AS909" s="99"/>
      <c r="AT909" s="99"/>
      <c r="AU909" s="99"/>
      <c r="AV909" s="99"/>
      <c r="AW909" s="99"/>
      <c r="AX909" s="99"/>
      <c r="AY909" s="99"/>
      <c r="AZ909" s="99"/>
      <c r="BA909" s="99"/>
    </row>
    <row r="910" spans="1:53" ht="14.25" customHeight="1" x14ac:dyDescent="0.25">
      <c r="A910" s="124"/>
      <c r="B910" s="124"/>
      <c r="C910" s="124"/>
      <c r="D910" s="158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99"/>
      <c r="AG910" s="99"/>
      <c r="AH910" s="99"/>
      <c r="AI910" s="99"/>
      <c r="AJ910" s="99"/>
      <c r="AK910" s="99"/>
      <c r="AL910" s="99"/>
      <c r="AM910" s="99"/>
      <c r="AN910" s="99"/>
      <c r="AO910" s="99"/>
      <c r="AP910" s="99"/>
      <c r="AQ910" s="99"/>
      <c r="AR910" s="99"/>
      <c r="AS910" s="99"/>
      <c r="AT910" s="99"/>
      <c r="AU910" s="99"/>
      <c r="AV910" s="99"/>
      <c r="AW910" s="99"/>
      <c r="AX910" s="99"/>
      <c r="AY910" s="99"/>
      <c r="AZ910" s="99"/>
      <c r="BA910" s="99"/>
    </row>
    <row r="911" spans="1:53" ht="14.25" customHeight="1" x14ac:dyDescent="0.25">
      <c r="A911" s="124"/>
      <c r="B911" s="124"/>
      <c r="C911" s="124"/>
      <c r="D911" s="158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99"/>
      <c r="AG911" s="99"/>
      <c r="AH911" s="99"/>
      <c r="AI911" s="99"/>
      <c r="AJ911" s="99"/>
      <c r="AK911" s="99"/>
      <c r="AL911" s="99"/>
      <c r="AM911" s="99"/>
      <c r="AN911" s="99"/>
      <c r="AO911" s="99"/>
      <c r="AP911" s="99"/>
      <c r="AQ911" s="99"/>
      <c r="AR911" s="99"/>
      <c r="AS911" s="99"/>
      <c r="AT911" s="99"/>
      <c r="AU911" s="99"/>
      <c r="AV911" s="99"/>
      <c r="AW911" s="99"/>
      <c r="AX911" s="99"/>
      <c r="AY911" s="99"/>
      <c r="AZ911" s="99"/>
      <c r="BA911" s="99"/>
    </row>
    <row r="912" spans="1:53" ht="14.25" customHeight="1" x14ac:dyDescent="0.25">
      <c r="A912" s="124"/>
      <c r="B912" s="124"/>
      <c r="C912" s="124"/>
      <c r="D912" s="158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99"/>
      <c r="AG912" s="99"/>
      <c r="AH912" s="99"/>
      <c r="AI912" s="99"/>
      <c r="AJ912" s="99"/>
      <c r="AK912" s="99"/>
      <c r="AL912" s="99"/>
      <c r="AM912" s="99"/>
      <c r="AN912" s="99"/>
      <c r="AO912" s="99"/>
      <c r="AP912" s="99"/>
      <c r="AQ912" s="99"/>
      <c r="AR912" s="99"/>
      <c r="AS912" s="99"/>
      <c r="AT912" s="99"/>
      <c r="AU912" s="99"/>
      <c r="AV912" s="99"/>
      <c r="AW912" s="99"/>
      <c r="AX912" s="99"/>
      <c r="AY912" s="99"/>
      <c r="AZ912" s="99"/>
      <c r="BA912" s="99"/>
    </row>
    <row r="913" spans="1:53" ht="14.25" customHeight="1" x14ac:dyDescent="0.25">
      <c r="A913" s="124"/>
      <c r="B913" s="124"/>
      <c r="C913" s="124"/>
      <c r="D913" s="158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99"/>
      <c r="AG913" s="99"/>
      <c r="AH913" s="99"/>
      <c r="AI913" s="99"/>
      <c r="AJ913" s="99"/>
      <c r="AK913" s="99"/>
      <c r="AL913" s="99"/>
      <c r="AM913" s="99"/>
      <c r="AN913" s="99"/>
      <c r="AO913" s="99"/>
      <c r="AP913" s="99"/>
      <c r="AQ913" s="99"/>
      <c r="AR913" s="99"/>
      <c r="AS913" s="99"/>
      <c r="AT913" s="99"/>
      <c r="AU913" s="99"/>
      <c r="AV913" s="99"/>
      <c r="AW913" s="99"/>
      <c r="AX913" s="99"/>
      <c r="AY913" s="99"/>
      <c r="AZ913" s="99"/>
      <c r="BA913" s="99"/>
    </row>
    <row r="914" spans="1:53" ht="14.25" customHeight="1" x14ac:dyDescent="0.25">
      <c r="A914" s="124"/>
      <c r="B914" s="124"/>
      <c r="C914" s="124"/>
      <c r="D914" s="158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99"/>
      <c r="AG914" s="99"/>
      <c r="AH914" s="99"/>
      <c r="AI914" s="99"/>
      <c r="AJ914" s="99"/>
      <c r="AK914" s="99"/>
      <c r="AL914" s="99"/>
      <c r="AM914" s="99"/>
      <c r="AN914" s="99"/>
      <c r="AO914" s="99"/>
      <c r="AP914" s="99"/>
      <c r="AQ914" s="99"/>
      <c r="AR914" s="99"/>
      <c r="AS914" s="99"/>
      <c r="AT914" s="99"/>
      <c r="AU914" s="99"/>
      <c r="AV914" s="99"/>
      <c r="AW914" s="99"/>
      <c r="AX914" s="99"/>
      <c r="AY914" s="99"/>
      <c r="AZ914" s="99"/>
      <c r="BA914" s="99"/>
    </row>
    <row r="915" spans="1:53" ht="14.25" customHeight="1" x14ac:dyDescent="0.25">
      <c r="A915" s="124"/>
      <c r="B915" s="124"/>
      <c r="C915" s="124"/>
      <c r="D915" s="158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99"/>
      <c r="AG915" s="99"/>
      <c r="AH915" s="99"/>
      <c r="AI915" s="99"/>
      <c r="AJ915" s="99"/>
      <c r="AK915" s="99"/>
      <c r="AL915" s="99"/>
      <c r="AM915" s="99"/>
      <c r="AN915" s="99"/>
      <c r="AO915" s="99"/>
      <c r="AP915" s="99"/>
      <c r="AQ915" s="99"/>
      <c r="AR915" s="99"/>
      <c r="AS915" s="99"/>
      <c r="AT915" s="99"/>
      <c r="AU915" s="99"/>
      <c r="AV915" s="99"/>
      <c r="AW915" s="99"/>
      <c r="AX915" s="99"/>
      <c r="AY915" s="99"/>
      <c r="AZ915" s="99"/>
      <c r="BA915" s="99"/>
    </row>
    <row r="916" spans="1:53" ht="14.25" customHeight="1" x14ac:dyDescent="0.25">
      <c r="A916" s="124"/>
      <c r="B916" s="124"/>
      <c r="C916" s="124"/>
      <c r="D916" s="158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99"/>
      <c r="AG916" s="99"/>
      <c r="AH916" s="99"/>
      <c r="AI916" s="99"/>
      <c r="AJ916" s="99"/>
      <c r="AK916" s="99"/>
      <c r="AL916" s="99"/>
      <c r="AM916" s="99"/>
      <c r="AN916" s="99"/>
      <c r="AO916" s="99"/>
      <c r="AP916" s="99"/>
      <c r="AQ916" s="99"/>
      <c r="AR916" s="99"/>
      <c r="AS916" s="99"/>
      <c r="AT916" s="99"/>
      <c r="AU916" s="99"/>
      <c r="AV916" s="99"/>
      <c r="AW916" s="99"/>
      <c r="AX916" s="99"/>
      <c r="AY916" s="99"/>
      <c r="AZ916" s="99"/>
      <c r="BA916" s="99"/>
    </row>
    <row r="917" spans="1:53" ht="14.25" customHeight="1" x14ac:dyDescent="0.25">
      <c r="A917" s="124"/>
      <c r="B917" s="124"/>
      <c r="C917" s="124"/>
      <c r="D917" s="158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99"/>
      <c r="AG917" s="99"/>
      <c r="AH917" s="99"/>
      <c r="AI917" s="99"/>
      <c r="AJ917" s="99"/>
      <c r="AK917" s="99"/>
      <c r="AL917" s="99"/>
      <c r="AM917" s="99"/>
      <c r="AN917" s="99"/>
      <c r="AO917" s="99"/>
      <c r="AP917" s="99"/>
      <c r="AQ917" s="99"/>
      <c r="AR917" s="99"/>
      <c r="AS917" s="99"/>
      <c r="AT917" s="99"/>
      <c r="AU917" s="99"/>
      <c r="AV917" s="99"/>
      <c r="AW917" s="99"/>
      <c r="AX917" s="99"/>
      <c r="AY917" s="99"/>
      <c r="AZ917" s="99"/>
      <c r="BA917" s="99"/>
    </row>
    <row r="918" spans="1:53" ht="14.25" customHeight="1" x14ac:dyDescent="0.25">
      <c r="A918" s="124"/>
      <c r="B918" s="124"/>
      <c r="C918" s="124"/>
      <c r="D918" s="158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99"/>
      <c r="AG918" s="99"/>
      <c r="AH918" s="99"/>
      <c r="AI918" s="99"/>
      <c r="AJ918" s="99"/>
      <c r="AK918" s="99"/>
      <c r="AL918" s="99"/>
      <c r="AM918" s="99"/>
      <c r="AN918" s="99"/>
      <c r="AO918" s="99"/>
      <c r="AP918" s="99"/>
      <c r="AQ918" s="99"/>
      <c r="AR918" s="99"/>
      <c r="AS918" s="99"/>
      <c r="AT918" s="99"/>
      <c r="AU918" s="99"/>
      <c r="AV918" s="99"/>
      <c r="AW918" s="99"/>
      <c r="AX918" s="99"/>
      <c r="AY918" s="99"/>
      <c r="AZ918" s="99"/>
      <c r="BA918" s="99"/>
    </row>
    <row r="919" spans="1:53" ht="14.25" customHeight="1" x14ac:dyDescent="0.25">
      <c r="A919" s="124"/>
      <c r="B919" s="124"/>
      <c r="C919" s="124"/>
      <c r="D919" s="158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99"/>
      <c r="AG919" s="99"/>
      <c r="AH919" s="99"/>
      <c r="AI919" s="99"/>
      <c r="AJ919" s="99"/>
      <c r="AK919" s="99"/>
      <c r="AL919" s="99"/>
      <c r="AM919" s="99"/>
      <c r="AN919" s="99"/>
      <c r="AO919" s="99"/>
      <c r="AP919" s="99"/>
      <c r="AQ919" s="99"/>
      <c r="AR919" s="99"/>
      <c r="AS919" s="99"/>
      <c r="AT919" s="99"/>
      <c r="AU919" s="99"/>
      <c r="AV919" s="99"/>
      <c r="AW919" s="99"/>
      <c r="AX919" s="99"/>
      <c r="AY919" s="99"/>
      <c r="AZ919" s="99"/>
      <c r="BA919" s="99"/>
    </row>
    <row r="920" spans="1:53" ht="14.25" customHeight="1" x14ac:dyDescent="0.25">
      <c r="A920" s="124"/>
      <c r="B920" s="124"/>
      <c r="C920" s="124"/>
      <c r="D920" s="158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99"/>
      <c r="AG920" s="99"/>
      <c r="AH920" s="99"/>
      <c r="AI920" s="99"/>
      <c r="AJ920" s="99"/>
      <c r="AK920" s="99"/>
      <c r="AL920" s="99"/>
      <c r="AM920" s="99"/>
      <c r="AN920" s="99"/>
      <c r="AO920" s="99"/>
      <c r="AP920" s="99"/>
      <c r="AQ920" s="99"/>
      <c r="AR920" s="99"/>
      <c r="AS920" s="99"/>
      <c r="AT920" s="99"/>
      <c r="AU920" s="99"/>
      <c r="AV920" s="99"/>
      <c r="AW920" s="99"/>
      <c r="AX920" s="99"/>
      <c r="AY920" s="99"/>
      <c r="AZ920" s="99"/>
      <c r="BA920" s="99"/>
    </row>
    <row r="921" spans="1:53" ht="14.25" customHeight="1" x14ac:dyDescent="0.25">
      <c r="A921" s="124"/>
      <c r="B921" s="124"/>
      <c r="C921" s="124"/>
      <c r="D921" s="158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99"/>
      <c r="AG921" s="99"/>
      <c r="AH921" s="99"/>
      <c r="AI921" s="99"/>
      <c r="AJ921" s="99"/>
      <c r="AK921" s="99"/>
      <c r="AL921" s="99"/>
      <c r="AM921" s="99"/>
      <c r="AN921" s="99"/>
      <c r="AO921" s="99"/>
      <c r="AP921" s="99"/>
      <c r="AQ921" s="99"/>
      <c r="AR921" s="99"/>
      <c r="AS921" s="99"/>
      <c r="AT921" s="99"/>
      <c r="AU921" s="99"/>
      <c r="AV921" s="99"/>
      <c r="AW921" s="99"/>
      <c r="AX921" s="99"/>
      <c r="AY921" s="99"/>
      <c r="AZ921" s="99"/>
      <c r="BA921" s="99"/>
    </row>
    <row r="922" spans="1:53" ht="14.25" customHeight="1" x14ac:dyDescent="0.25">
      <c r="A922" s="124"/>
      <c r="B922" s="124"/>
      <c r="C922" s="124"/>
      <c r="D922" s="158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99"/>
      <c r="AG922" s="99"/>
      <c r="AH922" s="99"/>
      <c r="AI922" s="99"/>
      <c r="AJ922" s="99"/>
      <c r="AK922" s="99"/>
      <c r="AL922" s="99"/>
      <c r="AM922" s="99"/>
      <c r="AN922" s="99"/>
      <c r="AO922" s="99"/>
      <c r="AP922" s="99"/>
      <c r="AQ922" s="99"/>
      <c r="AR922" s="99"/>
      <c r="AS922" s="99"/>
      <c r="AT922" s="99"/>
      <c r="AU922" s="99"/>
      <c r="AV922" s="99"/>
      <c r="AW922" s="99"/>
      <c r="AX922" s="99"/>
      <c r="AY922" s="99"/>
      <c r="AZ922" s="99"/>
      <c r="BA922" s="99"/>
    </row>
    <row r="923" spans="1:53" ht="14.25" customHeight="1" x14ac:dyDescent="0.25">
      <c r="A923" s="124"/>
      <c r="B923" s="124"/>
      <c r="C923" s="124"/>
      <c r="D923" s="158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99"/>
      <c r="AG923" s="99"/>
      <c r="AH923" s="99"/>
      <c r="AI923" s="99"/>
      <c r="AJ923" s="99"/>
      <c r="AK923" s="99"/>
      <c r="AL923" s="99"/>
      <c r="AM923" s="99"/>
      <c r="AN923" s="99"/>
      <c r="AO923" s="99"/>
      <c r="AP923" s="99"/>
      <c r="AQ923" s="99"/>
      <c r="AR923" s="99"/>
      <c r="AS923" s="99"/>
      <c r="AT923" s="99"/>
      <c r="AU923" s="99"/>
      <c r="AV923" s="99"/>
      <c r="AW923" s="99"/>
      <c r="AX923" s="99"/>
      <c r="AY923" s="99"/>
      <c r="AZ923" s="99"/>
      <c r="BA923" s="99"/>
    </row>
    <row r="924" spans="1:53" ht="14.25" customHeight="1" x14ac:dyDescent="0.25">
      <c r="A924" s="124"/>
      <c r="B924" s="124"/>
      <c r="C924" s="124"/>
      <c r="D924" s="158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99"/>
      <c r="AG924" s="99"/>
      <c r="AH924" s="99"/>
      <c r="AI924" s="99"/>
      <c r="AJ924" s="99"/>
      <c r="AK924" s="99"/>
      <c r="AL924" s="99"/>
      <c r="AM924" s="99"/>
      <c r="AN924" s="99"/>
      <c r="AO924" s="99"/>
      <c r="AP924" s="99"/>
      <c r="AQ924" s="99"/>
      <c r="AR924" s="99"/>
      <c r="AS924" s="99"/>
      <c r="AT924" s="99"/>
      <c r="AU924" s="99"/>
      <c r="AV924" s="99"/>
      <c r="AW924" s="99"/>
      <c r="AX924" s="99"/>
      <c r="AY924" s="99"/>
      <c r="AZ924" s="99"/>
      <c r="BA924" s="99"/>
    </row>
    <row r="925" spans="1:53" ht="14.25" customHeight="1" x14ac:dyDescent="0.25">
      <c r="A925" s="124"/>
      <c r="B925" s="124"/>
      <c r="C925" s="124"/>
      <c r="D925" s="158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99"/>
      <c r="AG925" s="99"/>
      <c r="AH925" s="99"/>
      <c r="AI925" s="99"/>
      <c r="AJ925" s="99"/>
      <c r="AK925" s="99"/>
      <c r="AL925" s="99"/>
      <c r="AM925" s="99"/>
      <c r="AN925" s="99"/>
      <c r="AO925" s="99"/>
      <c r="AP925" s="99"/>
      <c r="AQ925" s="99"/>
      <c r="AR925" s="99"/>
      <c r="AS925" s="99"/>
      <c r="AT925" s="99"/>
      <c r="AU925" s="99"/>
      <c r="AV925" s="99"/>
      <c r="AW925" s="99"/>
      <c r="AX925" s="99"/>
      <c r="AY925" s="99"/>
      <c r="AZ925" s="99"/>
      <c r="BA925" s="99"/>
    </row>
    <row r="926" spans="1:53" ht="14.25" customHeight="1" x14ac:dyDescent="0.25">
      <c r="A926" s="124"/>
      <c r="B926" s="124"/>
      <c r="C926" s="124"/>
      <c r="D926" s="158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  <c r="AF926" s="99"/>
      <c r="AG926" s="99"/>
      <c r="AH926" s="99"/>
      <c r="AI926" s="99"/>
      <c r="AJ926" s="99"/>
      <c r="AK926" s="99"/>
      <c r="AL926" s="99"/>
      <c r="AM926" s="99"/>
      <c r="AN926" s="99"/>
      <c r="AO926" s="99"/>
      <c r="AP926" s="99"/>
      <c r="AQ926" s="99"/>
      <c r="AR926" s="99"/>
      <c r="AS926" s="99"/>
      <c r="AT926" s="99"/>
      <c r="AU926" s="99"/>
      <c r="AV926" s="99"/>
      <c r="AW926" s="99"/>
      <c r="AX926" s="99"/>
      <c r="AY926" s="99"/>
      <c r="AZ926" s="99"/>
      <c r="BA926" s="99"/>
    </row>
    <row r="927" spans="1:53" ht="14.25" customHeight="1" x14ac:dyDescent="0.25">
      <c r="A927" s="124"/>
      <c r="B927" s="124"/>
      <c r="C927" s="124"/>
      <c r="D927" s="158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99"/>
      <c r="AG927" s="99"/>
      <c r="AH927" s="99"/>
      <c r="AI927" s="99"/>
      <c r="AJ927" s="99"/>
      <c r="AK927" s="99"/>
      <c r="AL927" s="99"/>
      <c r="AM927" s="99"/>
      <c r="AN927" s="99"/>
      <c r="AO927" s="99"/>
      <c r="AP927" s="99"/>
      <c r="AQ927" s="99"/>
      <c r="AR927" s="99"/>
      <c r="AS927" s="99"/>
      <c r="AT927" s="99"/>
      <c r="AU927" s="99"/>
      <c r="AV927" s="99"/>
      <c r="AW927" s="99"/>
      <c r="AX927" s="99"/>
      <c r="AY927" s="99"/>
      <c r="AZ927" s="99"/>
      <c r="BA927" s="99"/>
    </row>
    <row r="928" spans="1:53" ht="14.25" customHeight="1" x14ac:dyDescent="0.25">
      <c r="A928" s="124"/>
      <c r="B928" s="124"/>
      <c r="C928" s="124"/>
      <c r="D928" s="158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  <c r="AF928" s="99"/>
      <c r="AG928" s="99"/>
      <c r="AH928" s="99"/>
      <c r="AI928" s="99"/>
      <c r="AJ928" s="99"/>
      <c r="AK928" s="99"/>
      <c r="AL928" s="99"/>
      <c r="AM928" s="99"/>
      <c r="AN928" s="99"/>
      <c r="AO928" s="99"/>
      <c r="AP928" s="99"/>
      <c r="AQ928" s="99"/>
      <c r="AR928" s="99"/>
      <c r="AS928" s="99"/>
      <c r="AT928" s="99"/>
      <c r="AU928" s="99"/>
      <c r="AV928" s="99"/>
      <c r="AW928" s="99"/>
      <c r="AX928" s="99"/>
      <c r="AY928" s="99"/>
      <c r="AZ928" s="99"/>
      <c r="BA928" s="99"/>
    </row>
    <row r="929" spans="1:53" ht="14.25" customHeight="1" x14ac:dyDescent="0.25">
      <c r="A929" s="124"/>
      <c r="B929" s="124"/>
      <c r="C929" s="124"/>
      <c r="D929" s="158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  <c r="AF929" s="99"/>
      <c r="AG929" s="99"/>
      <c r="AH929" s="99"/>
      <c r="AI929" s="99"/>
      <c r="AJ929" s="99"/>
      <c r="AK929" s="99"/>
      <c r="AL929" s="99"/>
      <c r="AM929" s="99"/>
      <c r="AN929" s="99"/>
      <c r="AO929" s="99"/>
      <c r="AP929" s="99"/>
      <c r="AQ929" s="99"/>
      <c r="AR929" s="99"/>
      <c r="AS929" s="99"/>
      <c r="AT929" s="99"/>
      <c r="AU929" s="99"/>
      <c r="AV929" s="99"/>
      <c r="AW929" s="99"/>
      <c r="AX929" s="99"/>
      <c r="AY929" s="99"/>
      <c r="AZ929" s="99"/>
      <c r="BA929" s="99"/>
    </row>
    <row r="930" spans="1:53" ht="14.25" customHeight="1" x14ac:dyDescent="0.25">
      <c r="A930" s="124"/>
      <c r="B930" s="124"/>
      <c r="C930" s="124"/>
      <c r="D930" s="158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  <c r="AF930" s="99"/>
      <c r="AG930" s="99"/>
      <c r="AH930" s="99"/>
      <c r="AI930" s="99"/>
      <c r="AJ930" s="99"/>
      <c r="AK930" s="99"/>
      <c r="AL930" s="99"/>
      <c r="AM930" s="99"/>
      <c r="AN930" s="99"/>
      <c r="AO930" s="99"/>
      <c r="AP930" s="99"/>
      <c r="AQ930" s="99"/>
      <c r="AR930" s="99"/>
      <c r="AS930" s="99"/>
      <c r="AT930" s="99"/>
      <c r="AU930" s="99"/>
      <c r="AV930" s="99"/>
      <c r="AW930" s="99"/>
      <c r="AX930" s="99"/>
      <c r="AY930" s="99"/>
      <c r="AZ930" s="99"/>
      <c r="BA930" s="99"/>
    </row>
    <row r="931" spans="1:53" ht="14.25" customHeight="1" x14ac:dyDescent="0.25">
      <c r="A931" s="124"/>
      <c r="B931" s="124"/>
      <c r="C931" s="124"/>
      <c r="D931" s="158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99"/>
      <c r="AG931" s="99"/>
      <c r="AH931" s="99"/>
      <c r="AI931" s="99"/>
      <c r="AJ931" s="99"/>
      <c r="AK931" s="99"/>
      <c r="AL931" s="99"/>
      <c r="AM931" s="99"/>
      <c r="AN931" s="99"/>
      <c r="AO931" s="99"/>
      <c r="AP931" s="99"/>
      <c r="AQ931" s="99"/>
      <c r="AR931" s="99"/>
      <c r="AS931" s="99"/>
      <c r="AT931" s="99"/>
      <c r="AU931" s="99"/>
      <c r="AV931" s="99"/>
      <c r="AW931" s="99"/>
      <c r="AX931" s="99"/>
      <c r="AY931" s="99"/>
      <c r="AZ931" s="99"/>
      <c r="BA931" s="99"/>
    </row>
    <row r="932" spans="1:53" ht="14.25" customHeight="1" x14ac:dyDescent="0.25">
      <c r="A932" s="124"/>
      <c r="B932" s="124"/>
      <c r="C932" s="124"/>
      <c r="D932" s="158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99"/>
      <c r="AG932" s="99"/>
      <c r="AH932" s="99"/>
      <c r="AI932" s="99"/>
      <c r="AJ932" s="99"/>
      <c r="AK932" s="99"/>
      <c r="AL932" s="99"/>
      <c r="AM932" s="99"/>
      <c r="AN932" s="99"/>
      <c r="AO932" s="99"/>
      <c r="AP932" s="99"/>
      <c r="AQ932" s="99"/>
      <c r="AR932" s="99"/>
      <c r="AS932" s="99"/>
      <c r="AT932" s="99"/>
      <c r="AU932" s="99"/>
      <c r="AV932" s="99"/>
      <c r="AW932" s="99"/>
      <c r="AX932" s="99"/>
      <c r="AY932" s="99"/>
      <c r="AZ932" s="99"/>
      <c r="BA932" s="99"/>
    </row>
    <row r="933" spans="1:53" ht="14.25" customHeight="1" x14ac:dyDescent="0.25">
      <c r="A933" s="124"/>
      <c r="B933" s="124"/>
      <c r="C933" s="124"/>
      <c r="D933" s="158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  <c r="AF933" s="99"/>
      <c r="AG933" s="99"/>
      <c r="AH933" s="99"/>
      <c r="AI933" s="99"/>
      <c r="AJ933" s="99"/>
      <c r="AK933" s="99"/>
      <c r="AL933" s="99"/>
      <c r="AM933" s="99"/>
      <c r="AN933" s="99"/>
      <c r="AO933" s="99"/>
      <c r="AP933" s="99"/>
      <c r="AQ933" s="99"/>
      <c r="AR933" s="99"/>
      <c r="AS933" s="99"/>
      <c r="AT933" s="99"/>
      <c r="AU933" s="99"/>
      <c r="AV933" s="99"/>
      <c r="AW933" s="99"/>
      <c r="AX933" s="99"/>
      <c r="AY933" s="99"/>
      <c r="AZ933" s="99"/>
      <c r="BA933" s="99"/>
    </row>
    <row r="934" spans="1:53" ht="14.25" customHeight="1" x14ac:dyDescent="0.25">
      <c r="A934" s="124"/>
      <c r="B934" s="124"/>
      <c r="C934" s="124"/>
      <c r="D934" s="158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  <c r="AF934" s="99"/>
      <c r="AG934" s="99"/>
      <c r="AH934" s="99"/>
      <c r="AI934" s="99"/>
      <c r="AJ934" s="99"/>
      <c r="AK934" s="99"/>
      <c r="AL934" s="99"/>
      <c r="AM934" s="99"/>
      <c r="AN934" s="99"/>
      <c r="AO934" s="99"/>
      <c r="AP934" s="99"/>
      <c r="AQ934" s="99"/>
      <c r="AR934" s="99"/>
      <c r="AS934" s="99"/>
      <c r="AT934" s="99"/>
      <c r="AU934" s="99"/>
      <c r="AV934" s="99"/>
      <c r="AW934" s="99"/>
      <c r="AX934" s="99"/>
      <c r="AY934" s="99"/>
      <c r="AZ934" s="99"/>
      <c r="BA934" s="99"/>
    </row>
    <row r="935" spans="1:53" ht="14.25" customHeight="1" x14ac:dyDescent="0.25">
      <c r="A935" s="124"/>
      <c r="B935" s="124"/>
      <c r="C935" s="124"/>
      <c r="D935" s="158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99"/>
      <c r="AG935" s="99"/>
      <c r="AH935" s="99"/>
      <c r="AI935" s="99"/>
      <c r="AJ935" s="99"/>
      <c r="AK935" s="99"/>
      <c r="AL935" s="99"/>
      <c r="AM935" s="99"/>
      <c r="AN935" s="99"/>
      <c r="AO935" s="99"/>
      <c r="AP935" s="99"/>
      <c r="AQ935" s="99"/>
      <c r="AR935" s="99"/>
      <c r="AS935" s="99"/>
      <c r="AT935" s="99"/>
      <c r="AU935" s="99"/>
      <c r="AV935" s="99"/>
      <c r="AW935" s="99"/>
      <c r="AX935" s="99"/>
      <c r="AY935" s="99"/>
      <c r="AZ935" s="99"/>
      <c r="BA935" s="99"/>
    </row>
    <row r="936" spans="1:53" ht="14.25" customHeight="1" x14ac:dyDescent="0.25">
      <c r="A936" s="124"/>
      <c r="B936" s="124"/>
      <c r="C936" s="124"/>
      <c r="D936" s="158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  <c r="AF936" s="99"/>
      <c r="AG936" s="99"/>
      <c r="AH936" s="99"/>
      <c r="AI936" s="99"/>
      <c r="AJ936" s="99"/>
      <c r="AK936" s="99"/>
      <c r="AL936" s="99"/>
      <c r="AM936" s="99"/>
      <c r="AN936" s="99"/>
      <c r="AO936" s="99"/>
      <c r="AP936" s="99"/>
      <c r="AQ936" s="99"/>
      <c r="AR936" s="99"/>
      <c r="AS936" s="99"/>
      <c r="AT936" s="99"/>
      <c r="AU936" s="99"/>
      <c r="AV936" s="99"/>
      <c r="AW936" s="99"/>
      <c r="AX936" s="99"/>
      <c r="AY936" s="99"/>
      <c r="AZ936" s="99"/>
      <c r="BA936" s="99"/>
    </row>
    <row r="937" spans="1:53" ht="14.25" customHeight="1" x14ac:dyDescent="0.25">
      <c r="A937" s="124"/>
      <c r="B937" s="124"/>
      <c r="C937" s="124"/>
      <c r="D937" s="158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99"/>
      <c r="AG937" s="99"/>
      <c r="AH937" s="99"/>
      <c r="AI937" s="99"/>
      <c r="AJ937" s="99"/>
      <c r="AK937" s="99"/>
      <c r="AL937" s="99"/>
      <c r="AM937" s="99"/>
      <c r="AN937" s="99"/>
      <c r="AO937" s="99"/>
      <c r="AP937" s="99"/>
      <c r="AQ937" s="99"/>
      <c r="AR937" s="99"/>
      <c r="AS937" s="99"/>
      <c r="AT937" s="99"/>
      <c r="AU937" s="99"/>
      <c r="AV937" s="99"/>
      <c r="AW937" s="99"/>
      <c r="AX937" s="99"/>
      <c r="AY937" s="99"/>
      <c r="AZ937" s="99"/>
      <c r="BA937" s="99"/>
    </row>
    <row r="938" spans="1:53" ht="14.25" customHeight="1" x14ac:dyDescent="0.25">
      <c r="A938" s="124"/>
      <c r="B938" s="124"/>
      <c r="C938" s="124"/>
      <c r="D938" s="158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  <c r="AF938" s="99"/>
      <c r="AG938" s="99"/>
      <c r="AH938" s="99"/>
      <c r="AI938" s="99"/>
      <c r="AJ938" s="99"/>
      <c r="AK938" s="99"/>
      <c r="AL938" s="99"/>
      <c r="AM938" s="99"/>
      <c r="AN938" s="99"/>
      <c r="AO938" s="99"/>
      <c r="AP938" s="99"/>
      <c r="AQ938" s="99"/>
      <c r="AR938" s="99"/>
      <c r="AS938" s="99"/>
      <c r="AT938" s="99"/>
      <c r="AU938" s="99"/>
      <c r="AV938" s="99"/>
      <c r="AW938" s="99"/>
      <c r="AX938" s="99"/>
      <c r="AY938" s="99"/>
      <c r="AZ938" s="99"/>
      <c r="BA938" s="99"/>
    </row>
    <row r="939" spans="1:53" ht="14.25" customHeight="1" x14ac:dyDescent="0.25">
      <c r="A939" s="124"/>
      <c r="B939" s="124"/>
      <c r="C939" s="124"/>
      <c r="D939" s="158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  <c r="AF939" s="99"/>
      <c r="AG939" s="99"/>
      <c r="AH939" s="99"/>
      <c r="AI939" s="99"/>
      <c r="AJ939" s="99"/>
      <c r="AK939" s="99"/>
      <c r="AL939" s="99"/>
      <c r="AM939" s="99"/>
      <c r="AN939" s="99"/>
      <c r="AO939" s="99"/>
      <c r="AP939" s="99"/>
      <c r="AQ939" s="99"/>
      <c r="AR939" s="99"/>
      <c r="AS939" s="99"/>
      <c r="AT939" s="99"/>
      <c r="AU939" s="99"/>
      <c r="AV939" s="99"/>
      <c r="AW939" s="99"/>
      <c r="AX939" s="99"/>
      <c r="AY939" s="99"/>
      <c r="AZ939" s="99"/>
      <c r="BA939" s="99"/>
    </row>
    <row r="940" spans="1:53" ht="14.25" customHeight="1" x14ac:dyDescent="0.25">
      <c r="A940" s="124"/>
      <c r="B940" s="124"/>
      <c r="C940" s="124"/>
      <c r="D940" s="158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99"/>
      <c r="AG940" s="99"/>
      <c r="AH940" s="99"/>
      <c r="AI940" s="99"/>
      <c r="AJ940" s="99"/>
      <c r="AK940" s="99"/>
      <c r="AL940" s="99"/>
      <c r="AM940" s="99"/>
      <c r="AN940" s="99"/>
      <c r="AO940" s="99"/>
      <c r="AP940" s="99"/>
      <c r="AQ940" s="99"/>
      <c r="AR940" s="99"/>
      <c r="AS940" s="99"/>
      <c r="AT940" s="99"/>
      <c r="AU940" s="99"/>
      <c r="AV940" s="99"/>
      <c r="AW940" s="99"/>
      <c r="AX940" s="99"/>
      <c r="AY940" s="99"/>
      <c r="AZ940" s="99"/>
      <c r="BA940" s="99"/>
    </row>
    <row r="941" spans="1:53" ht="14.25" customHeight="1" x14ac:dyDescent="0.25">
      <c r="A941" s="124"/>
      <c r="B941" s="124"/>
      <c r="C941" s="124"/>
      <c r="D941" s="158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  <c r="AD941" s="99"/>
      <c r="AE941" s="99"/>
      <c r="AF941" s="99"/>
      <c r="AG941" s="99"/>
      <c r="AH941" s="99"/>
      <c r="AI941" s="99"/>
      <c r="AJ941" s="99"/>
      <c r="AK941" s="99"/>
      <c r="AL941" s="99"/>
      <c r="AM941" s="99"/>
      <c r="AN941" s="99"/>
      <c r="AO941" s="99"/>
      <c r="AP941" s="99"/>
      <c r="AQ941" s="99"/>
      <c r="AR941" s="99"/>
      <c r="AS941" s="99"/>
      <c r="AT941" s="99"/>
      <c r="AU941" s="99"/>
      <c r="AV941" s="99"/>
      <c r="AW941" s="99"/>
      <c r="AX941" s="99"/>
      <c r="AY941" s="99"/>
      <c r="AZ941" s="99"/>
      <c r="BA941" s="99"/>
    </row>
    <row r="942" spans="1:53" ht="14.25" customHeight="1" x14ac:dyDescent="0.25">
      <c r="A942" s="124"/>
      <c r="B942" s="124"/>
      <c r="C942" s="124"/>
      <c r="D942" s="158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  <c r="AF942" s="99"/>
      <c r="AG942" s="99"/>
      <c r="AH942" s="99"/>
      <c r="AI942" s="99"/>
      <c r="AJ942" s="99"/>
      <c r="AK942" s="99"/>
      <c r="AL942" s="99"/>
      <c r="AM942" s="99"/>
      <c r="AN942" s="99"/>
      <c r="AO942" s="99"/>
      <c r="AP942" s="99"/>
      <c r="AQ942" s="99"/>
      <c r="AR942" s="99"/>
      <c r="AS942" s="99"/>
      <c r="AT942" s="99"/>
      <c r="AU942" s="99"/>
      <c r="AV942" s="99"/>
      <c r="AW942" s="99"/>
      <c r="AX942" s="99"/>
      <c r="AY942" s="99"/>
      <c r="AZ942" s="99"/>
      <c r="BA942" s="99"/>
    </row>
    <row r="943" spans="1:53" ht="14.25" customHeight="1" x14ac:dyDescent="0.25">
      <c r="A943" s="124"/>
      <c r="B943" s="124"/>
      <c r="C943" s="124"/>
      <c r="D943" s="158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  <c r="AC943" s="99"/>
      <c r="AD943" s="99"/>
      <c r="AE943" s="99"/>
      <c r="AF943" s="99"/>
      <c r="AG943" s="99"/>
      <c r="AH943" s="99"/>
      <c r="AI943" s="99"/>
      <c r="AJ943" s="99"/>
      <c r="AK943" s="99"/>
      <c r="AL943" s="99"/>
      <c r="AM943" s="99"/>
      <c r="AN943" s="99"/>
      <c r="AO943" s="99"/>
      <c r="AP943" s="99"/>
      <c r="AQ943" s="99"/>
      <c r="AR943" s="99"/>
      <c r="AS943" s="99"/>
      <c r="AT943" s="99"/>
      <c r="AU943" s="99"/>
      <c r="AV943" s="99"/>
      <c r="AW943" s="99"/>
      <c r="AX943" s="99"/>
      <c r="AY943" s="99"/>
      <c r="AZ943" s="99"/>
      <c r="BA943" s="99"/>
    </row>
    <row r="944" spans="1:53" ht="14.25" customHeight="1" x14ac:dyDescent="0.25">
      <c r="A944" s="124"/>
      <c r="B944" s="124"/>
      <c r="C944" s="124"/>
      <c r="D944" s="158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  <c r="AF944" s="99"/>
      <c r="AG944" s="99"/>
      <c r="AH944" s="99"/>
      <c r="AI944" s="99"/>
      <c r="AJ944" s="99"/>
      <c r="AK944" s="99"/>
      <c r="AL944" s="99"/>
      <c r="AM944" s="99"/>
      <c r="AN944" s="99"/>
      <c r="AO944" s="99"/>
      <c r="AP944" s="99"/>
      <c r="AQ944" s="99"/>
      <c r="AR944" s="99"/>
      <c r="AS944" s="99"/>
      <c r="AT944" s="99"/>
      <c r="AU944" s="99"/>
      <c r="AV944" s="99"/>
      <c r="AW944" s="99"/>
      <c r="AX944" s="99"/>
      <c r="AY944" s="99"/>
      <c r="AZ944" s="99"/>
      <c r="BA944" s="99"/>
    </row>
    <row r="945" spans="1:53" ht="14.25" customHeight="1" x14ac:dyDescent="0.25">
      <c r="A945" s="124"/>
      <c r="B945" s="124"/>
      <c r="C945" s="124"/>
      <c r="D945" s="158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  <c r="AF945" s="99"/>
      <c r="AG945" s="99"/>
      <c r="AH945" s="99"/>
      <c r="AI945" s="99"/>
      <c r="AJ945" s="99"/>
      <c r="AK945" s="99"/>
      <c r="AL945" s="99"/>
      <c r="AM945" s="99"/>
      <c r="AN945" s="99"/>
      <c r="AO945" s="99"/>
      <c r="AP945" s="99"/>
      <c r="AQ945" s="99"/>
      <c r="AR945" s="99"/>
      <c r="AS945" s="99"/>
      <c r="AT945" s="99"/>
      <c r="AU945" s="99"/>
      <c r="AV945" s="99"/>
      <c r="AW945" s="99"/>
      <c r="AX945" s="99"/>
      <c r="AY945" s="99"/>
      <c r="AZ945" s="99"/>
      <c r="BA945" s="99"/>
    </row>
    <row r="946" spans="1:53" ht="14.25" customHeight="1" x14ac:dyDescent="0.25">
      <c r="A946" s="124"/>
      <c r="B946" s="124"/>
      <c r="C946" s="124"/>
      <c r="D946" s="158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  <c r="AF946" s="99"/>
      <c r="AG946" s="99"/>
      <c r="AH946" s="99"/>
      <c r="AI946" s="99"/>
      <c r="AJ946" s="99"/>
      <c r="AK946" s="99"/>
      <c r="AL946" s="99"/>
      <c r="AM946" s="99"/>
      <c r="AN946" s="99"/>
      <c r="AO946" s="99"/>
      <c r="AP946" s="99"/>
      <c r="AQ946" s="99"/>
      <c r="AR946" s="99"/>
      <c r="AS946" s="99"/>
      <c r="AT946" s="99"/>
      <c r="AU946" s="99"/>
      <c r="AV946" s="99"/>
      <c r="AW946" s="99"/>
      <c r="AX946" s="99"/>
      <c r="AY946" s="99"/>
      <c r="AZ946" s="99"/>
      <c r="BA946" s="99"/>
    </row>
    <row r="947" spans="1:53" ht="14.25" customHeight="1" x14ac:dyDescent="0.25">
      <c r="A947" s="124"/>
      <c r="B947" s="124"/>
      <c r="C947" s="124"/>
      <c r="D947" s="158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  <c r="AF947" s="99"/>
      <c r="AG947" s="99"/>
      <c r="AH947" s="99"/>
      <c r="AI947" s="99"/>
      <c r="AJ947" s="99"/>
      <c r="AK947" s="99"/>
      <c r="AL947" s="99"/>
      <c r="AM947" s="99"/>
      <c r="AN947" s="99"/>
      <c r="AO947" s="99"/>
      <c r="AP947" s="99"/>
      <c r="AQ947" s="99"/>
      <c r="AR947" s="99"/>
      <c r="AS947" s="99"/>
      <c r="AT947" s="99"/>
      <c r="AU947" s="99"/>
      <c r="AV947" s="99"/>
      <c r="AW947" s="99"/>
      <c r="AX947" s="99"/>
      <c r="AY947" s="99"/>
      <c r="AZ947" s="99"/>
      <c r="BA947" s="99"/>
    </row>
    <row r="948" spans="1:53" ht="14.25" customHeight="1" x14ac:dyDescent="0.25">
      <c r="A948" s="124"/>
      <c r="B948" s="124"/>
      <c r="C948" s="124"/>
      <c r="D948" s="158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  <c r="AF948" s="99"/>
      <c r="AG948" s="99"/>
      <c r="AH948" s="99"/>
      <c r="AI948" s="99"/>
      <c r="AJ948" s="99"/>
      <c r="AK948" s="99"/>
      <c r="AL948" s="99"/>
      <c r="AM948" s="99"/>
      <c r="AN948" s="99"/>
      <c r="AO948" s="99"/>
      <c r="AP948" s="99"/>
      <c r="AQ948" s="99"/>
      <c r="AR948" s="99"/>
      <c r="AS948" s="99"/>
      <c r="AT948" s="99"/>
      <c r="AU948" s="99"/>
      <c r="AV948" s="99"/>
      <c r="AW948" s="99"/>
      <c r="AX948" s="99"/>
      <c r="AY948" s="99"/>
      <c r="AZ948" s="99"/>
      <c r="BA948" s="99"/>
    </row>
    <row r="949" spans="1:53" ht="14.25" customHeight="1" x14ac:dyDescent="0.25">
      <c r="A949" s="124"/>
      <c r="B949" s="124"/>
      <c r="C949" s="124"/>
      <c r="D949" s="158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99"/>
      <c r="AG949" s="99"/>
      <c r="AH949" s="99"/>
      <c r="AI949" s="99"/>
      <c r="AJ949" s="99"/>
      <c r="AK949" s="99"/>
      <c r="AL949" s="99"/>
      <c r="AM949" s="99"/>
      <c r="AN949" s="99"/>
      <c r="AO949" s="99"/>
      <c r="AP949" s="99"/>
      <c r="AQ949" s="99"/>
      <c r="AR949" s="99"/>
      <c r="AS949" s="99"/>
      <c r="AT949" s="99"/>
      <c r="AU949" s="99"/>
      <c r="AV949" s="99"/>
      <c r="AW949" s="99"/>
      <c r="AX949" s="99"/>
      <c r="AY949" s="99"/>
      <c r="AZ949" s="99"/>
      <c r="BA949" s="99"/>
    </row>
    <row r="950" spans="1:53" ht="14.25" customHeight="1" x14ac:dyDescent="0.25">
      <c r="A950" s="124"/>
      <c r="B950" s="124"/>
      <c r="C950" s="124"/>
      <c r="D950" s="158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99"/>
      <c r="AG950" s="99"/>
      <c r="AH950" s="99"/>
      <c r="AI950" s="99"/>
      <c r="AJ950" s="99"/>
      <c r="AK950" s="99"/>
      <c r="AL950" s="99"/>
      <c r="AM950" s="99"/>
      <c r="AN950" s="99"/>
      <c r="AO950" s="99"/>
      <c r="AP950" s="99"/>
      <c r="AQ950" s="99"/>
      <c r="AR950" s="99"/>
      <c r="AS950" s="99"/>
      <c r="AT950" s="99"/>
      <c r="AU950" s="99"/>
      <c r="AV950" s="99"/>
      <c r="AW950" s="99"/>
      <c r="AX950" s="99"/>
      <c r="AY950" s="99"/>
      <c r="AZ950" s="99"/>
      <c r="BA950" s="99"/>
    </row>
    <row r="951" spans="1:53" ht="14.25" customHeight="1" x14ac:dyDescent="0.25">
      <c r="A951" s="124"/>
      <c r="B951" s="124"/>
      <c r="C951" s="124"/>
      <c r="D951" s="158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  <c r="AF951" s="99"/>
      <c r="AG951" s="99"/>
      <c r="AH951" s="99"/>
      <c r="AI951" s="99"/>
      <c r="AJ951" s="99"/>
      <c r="AK951" s="99"/>
      <c r="AL951" s="99"/>
      <c r="AM951" s="99"/>
      <c r="AN951" s="99"/>
      <c r="AO951" s="99"/>
      <c r="AP951" s="99"/>
      <c r="AQ951" s="99"/>
      <c r="AR951" s="99"/>
      <c r="AS951" s="99"/>
      <c r="AT951" s="99"/>
      <c r="AU951" s="99"/>
      <c r="AV951" s="99"/>
      <c r="AW951" s="99"/>
      <c r="AX951" s="99"/>
      <c r="AY951" s="99"/>
      <c r="AZ951" s="99"/>
      <c r="BA951" s="99"/>
    </row>
    <row r="952" spans="1:53" ht="14.25" customHeight="1" x14ac:dyDescent="0.25">
      <c r="A952" s="124"/>
      <c r="B952" s="124"/>
      <c r="C952" s="124"/>
      <c r="D952" s="158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  <c r="AF952" s="99"/>
      <c r="AG952" s="99"/>
      <c r="AH952" s="99"/>
      <c r="AI952" s="99"/>
      <c r="AJ952" s="99"/>
      <c r="AK952" s="99"/>
      <c r="AL952" s="99"/>
      <c r="AM952" s="99"/>
      <c r="AN952" s="99"/>
      <c r="AO952" s="99"/>
      <c r="AP952" s="99"/>
      <c r="AQ952" s="99"/>
      <c r="AR952" s="99"/>
      <c r="AS952" s="99"/>
      <c r="AT952" s="99"/>
      <c r="AU952" s="99"/>
      <c r="AV952" s="99"/>
      <c r="AW952" s="99"/>
      <c r="AX952" s="99"/>
      <c r="AY952" s="99"/>
      <c r="AZ952" s="99"/>
      <c r="BA952" s="99"/>
    </row>
    <row r="953" spans="1:53" ht="14.25" customHeight="1" x14ac:dyDescent="0.25">
      <c r="A953" s="124"/>
      <c r="B953" s="124"/>
      <c r="C953" s="124"/>
      <c r="D953" s="158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  <c r="AF953" s="99"/>
      <c r="AG953" s="99"/>
      <c r="AH953" s="99"/>
      <c r="AI953" s="99"/>
      <c r="AJ953" s="99"/>
      <c r="AK953" s="99"/>
      <c r="AL953" s="99"/>
      <c r="AM953" s="99"/>
      <c r="AN953" s="99"/>
      <c r="AO953" s="99"/>
      <c r="AP953" s="99"/>
      <c r="AQ953" s="99"/>
      <c r="AR953" s="99"/>
      <c r="AS953" s="99"/>
      <c r="AT953" s="99"/>
      <c r="AU953" s="99"/>
      <c r="AV953" s="99"/>
      <c r="AW953" s="99"/>
      <c r="AX953" s="99"/>
      <c r="AY953" s="99"/>
      <c r="AZ953" s="99"/>
      <c r="BA953" s="99"/>
    </row>
    <row r="954" spans="1:53" ht="14.25" customHeight="1" x14ac:dyDescent="0.25">
      <c r="A954" s="124"/>
      <c r="B954" s="124"/>
      <c r="C954" s="124"/>
      <c r="D954" s="158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  <c r="AF954" s="99"/>
      <c r="AG954" s="99"/>
      <c r="AH954" s="99"/>
      <c r="AI954" s="99"/>
      <c r="AJ954" s="99"/>
      <c r="AK954" s="99"/>
      <c r="AL954" s="99"/>
      <c r="AM954" s="99"/>
      <c r="AN954" s="99"/>
      <c r="AO954" s="99"/>
      <c r="AP954" s="99"/>
      <c r="AQ954" s="99"/>
      <c r="AR954" s="99"/>
      <c r="AS954" s="99"/>
      <c r="AT954" s="99"/>
      <c r="AU954" s="99"/>
      <c r="AV954" s="99"/>
      <c r="AW954" s="99"/>
      <c r="AX954" s="99"/>
      <c r="AY954" s="99"/>
      <c r="AZ954" s="99"/>
      <c r="BA954" s="99"/>
    </row>
    <row r="955" spans="1:53" ht="14.25" customHeight="1" x14ac:dyDescent="0.25">
      <c r="A955" s="124"/>
      <c r="B955" s="124"/>
      <c r="C955" s="124"/>
      <c r="D955" s="158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  <c r="AF955" s="99"/>
      <c r="AG955" s="99"/>
      <c r="AH955" s="99"/>
      <c r="AI955" s="99"/>
      <c r="AJ955" s="99"/>
      <c r="AK955" s="99"/>
      <c r="AL955" s="99"/>
      <c r="AM955" s="99"/>
      <c r="AN955" s="99"/>
      <c r="AO955" s="99"/>
      <c r="AP955" s="99"/>
      <c r="AQ955" s="99"/>
      <c r="AR955" s="99"/>
      <c r="AS955" s="99"/>
      <c r="AT955" s="99"/>
      <c r="AU955" s="99"/>
      <c r="AV955" s="99"/>
      <c r="AW955" s="99"/>
      <c r="AX955" s="99"/>
      <c r="AY955" s="99"/>
      <c r="AZ955" s="99"/>
      <c r="BA955" s="99"/>
    </row>
    <row r="956" spans="1:53" ht="14.25" customHeight="1" x14ac:dyDescent="0.25">
      <c r="A956" s="124"/>
      <c r="B956" s="124"/>
      <c r="C956" s="124"/>
      <c r="D956" s="158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  <c r="AF956" s="99"/>
      <c r="AG956" s="99"/>
      <c r="AH956" s="99"/>
      <c r="AI956" s="99"/>
      <c r="AJ956" s="99"/>
      <c r="AK956" s="99"/>
      <c r="AL956" s="99"/>
      <c r="AM956" s="99"/>
      <c r="AN956" s="99"/>
      <c r="AO956" s="99"/>
      <c r="AP956" s="99"/>
      <c r="AQ956" s="99"/>
      <c r="AR956" s="99"/>
      <c r="AS956" s="99"/>
      <c r="AT956" s="99"/>
      <c r="AU956" s="99"/>
      <c r="AV956" s="99"/>
      <c r="AW956" s="99"/>
      <c r="AX956" s="99"/>
      <c r="AY956" s="99"/>
      <c r="AZ956" s="99"/>
      <c r="BA956" s="99"/>
    </row>
    <row r="957" spans="1:53" ht="14.25" customHeight="1" x14ac:dyDescent="0.25">
      <c r="A957" s="124"/>
      <c r="B957" s="124"/>
      <c r="C957" s="124"/>
      <c r="D957" s="158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  <c r="AF957" s="99"/>
      <c r="AG957" s="99"/>
      <c r="AH957" s="99"/>
      <c r="AI957" s="99"/>
      <c r="AJ957" s="99"/>
      <c r="AK957" s="99"/>
      <c r="AL957" s="99"/>
      <c r="AM957" s="99"/>
      <c r="AN957" s="99"/>
      <c r="AO957" s="99"/>
      <c r="AP957" s="99"/>
      <c r="AQ957" s="99"/>
      <c r="AR957" s="99"/>
      <c r="AS957" s="99"/>
      <c r="AT957" s="99"/>
      <c r="AU957" s="99"/>
      <c r="AV957" s="99"/>
      <c r="AW957" s="99"/>
      <c r="AX957" s="99"/>
      <c r="AY957" s="99"/>
      <c r="AZ957" s="99"/>
      <c r="BA957" s="99"/>
    </row>
    <row r="958" spans="1:53" ht="14.25" customHeight="1" x14ac:dyDescent="0.25">
      <c r="A958" s="124"/>
      <c r="B958" s="124"/>
      <c r="C958" s="124"/>
      <c r="D958" s="158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99"/>
      <c r="AG958" s="99"/>
      <c r="AH958" s="99"/>
      <c r="AI958" s="99"/>
      <c r="AJ958" s="99"/>
      <c r="AK958" s="99"/>
      <c r="AL958" s="99"/>
      <c r="AM958" s="99"/>
      <c r="AN958" s="99"/>
      <c r="AO958" s="99"/>
      <c r="AP958" s="99"/>
      <c r="AQ958" s="99"/>
      <c r="AR958" s="99"/>
      <c r="AS958" s="99"/>
      <c r="AT958" s="99"/>
      <c r="AU958" s="99"/>
      <c r="AV958" s="99"/>
      <c r="AW958" s="99"/>
      <c r="AX958" s="99"/>
      <c r="AY958" s="99"/>
      <c r="AZ958" s="99"/>
      <c r="BA958" s="99"/>
    </row>
    <row r="959" spans="1:53" ht="14.25" customHeight="1" x14ac:dyDescent="0.25">
      <c r="A959" s="124"/>
      <c r="B959" s="124"/>
      <c r="C959" s="124"/>
      <c r="D959" s="158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99"/>
      <c r="AG959" s="99"/>
      <c r="AH959" s="99"/>
      <c r="AI959" s="99"/>
      <c r="AJ959" s="99"/>
      <c r="AK959" s="99"/>
      <c r="AL959" s="99"/>
      <c r="AM959" s="99"/>
      <c r="AN959" s="99"/>
      <c r="AO959" s="99"/>
      <c r="AP959" s="99"/>
      <c r="AQ959" s="99"/>
      <c r="AR959" s="99"/>
      <c r="AS959" s="99"/>
      <c r="AT959" s="99"/>
      <c r="AU959" s="99"/>
      <c r="AV959" s="99"/>
      <c r="AW959" s="99"/>
      <c r="AX959" s="99"/>
      <c r="AY959" s="99"/>
      <c r="AZ959" s="99"/>
      <c r="BA959" s="99"/>
    </row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rgb="FF92D050"/>
  </sheetPr>
  <dimension ref="A1:AB959"/>
  <sheetViews>
    <sheetView workbookViewId="0"/>
  </sheetViews>
  <sheetFormatPr defaultColWidth="14.42578125" defaultRowHeight="15" customHeight="1" x14ac:dyDescent="0.25"/>
  <cols>
    <col min="1" max="2" width="9.140625" customWidth="1"/>
    <col min="3" max="3" width="14.28515625" customWidth="1"/>
    <col min="4" max="6" width="9.140625" customWidth="1"/>
    <col min="7" max="28" width="10" customWidth="1"/>
  </cols>
  <sheetData>
    <row r="1" spans="1:28" ht="96" customHeight="1" x14ac:dyDescent="0.25">
      <c r="A1" s="152" t="s">
        <v>38</v>
      </c>
      <c r="B1" s="159" t="s">
        <v>439</v>
      </c>
      <c r="C1" s="159" t="s">
        <v>440</v>
      </c>
      <c r="D1" s="160" t="s">
        <v>441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1:28" ht="14.25" customHeight="1" x14ac:dyDescent="0.4">
      <c r="A2" s="154" t="str">
        <f ca="1">IFERROR(__xludf.DUMMYFUNCTION("FILTER('NEST DATA '!A:A,'NEST DATA '!AM:AM=1)"),"1P")</f>
        <v>1P</v>
      </c>
      <c r="B2" s="154">
        <f ca="1">IFERROR(__xludf.DUMMYFUNCTION("FILTER('NEST DATA '!U:U,'NEST DATA '!AM:AM=1)"),113)</f>
        <v>113</v>
      </c>
      <c r="C2" s="108">
        <f ca="1">IFERROR(__xludf.DUMMYFUNCTION("IF(('NEST DATA '!AH11&lt;&gt;""N.A."") ,FILTER('NEST DATA '!AH:AH,'NEST DATA '!AM:AM=1))"),43)</f>
        <v>43</v>
      </c>
      <c r="D2" s="160">
        <f ca="1">IFERROR(__xludf.DUMMYFUNCTION("FILTER('NEST DATA '!D:D,'NEST DATA '!AM:AM=1)"),112)</f>
        <v>112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ht="14.25" customHeight="1" x14ac:dyDescent="0.25">
      <c r="A3" s="108" t="str">
        <f ca="1">IFERROR(__xludf.DUMMYFUNCTION("""COMPUTED_VALUE"""),"2P")</f>
        <v>2P</v>
      </c>
      <c r="B3" s="108">
        <f ca="1">IFERROR(__xludf.DUMMYFUNCTION("""COMPUTED_VALUE"""),99)</f>
        <v>99</v>
      </c>
      <c r="C3" s="108">
        <f ca="1">IFERROR(__xludf.DUMMYFUNCTION("""COMPUTED_VALUE"""),6)</f>
        <v>6</v>
      </c>
      <c r="D3" s="160">
        <f ca="1">IFERROR(__xludf.DUMMYFUNCTION("""COMPUTED_VALUE"""),134)</f>
        <v>134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28" ht="14.25" customHeight="1" x14ac:dyDescent="0.25">
      <c r="A4" s="108" t="str">
        <f ca="1">IFERROR(__xludf.DUMMYFUNCTION("""COMPUTED_VALUE"""),"3P")</f>
        <v>3P</v>
      </c>
      <c r="B4" s="108" t="str">
        <f ca="1">IFERROR(__xludf.DUMMYFUNCTION("""COMPUTED_VALUE"""),"N.A.")</f>
        <v>N.A.</v>
      </c>
      <c r="C4" s="108" t="str">
        <f ca="1">IFERROR(__xludf.DUMMYFUNCTION("""COMPUTED_VALUE"""),"N.A.")</f>
        <v>N.A.</v>
      </c>
      <c r="D4" s="160">
        <f ca="1">IFERROR(__xludf.DUMMYFUNCTION("""COMPUTED_VALUE"""),138)</f>
        <v>138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</row>
    <row r="5" spans="1:28" ht="14.25" customHeight="1" x14ac:dyDescent="0.25">
      <c r="A5" s="108" t="str">
        <f ca="1">IFERROR(__xludf.DUMMYFUNCTION("""COMPUTED_VALUE"""),"4K")</f>
        <v>4K</v>
      </c>
      <c r="B5" s="108">
        <f ca="1">IFERROR(__xludf.DUMMYFUNCTION("""COMPUTED_VALUE"""),117)</f>
        <v>117</v>
      </c>
      <c r="C5" s="108">
        <f ca="1">IFERROR(__xludf.DUMMYFUNCTION("""COMPUTED_VALUE"""),117)</f>
        <v>117</v>
      </c>
      <c r="D5" s="160">
        <f ca="1">IFERROR(__xludf.DUMMYFUNCTION("""COMPUTED_VALUE"""),19)</f>
        <v>19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</row>
    <row r="6" spans="1:28" ht="14.25" customHeight="1" x14ac:dyDescent="0.25">
      <c r="A6" s="108" t="str">
        <f ca="1">IFERROR(__xludf.DUMMYFUNCTION("""COMPUTED_VALUE"""),"5K")</f>
        <v>5K</v>
      </c>
      <c r="B6" s="108">
        <f ca="1">IFERROR(__xludf.DUMMYFUNCTION("""COMPUTED_VALUE"""),95)</f>
        <v>95</v>
      </c>
      <c r="C6" s="108">
        <f ca="1">IFERROR(__xludf.DUMMYFUNCTION("""COMPUTED_VALUE"""),17)</f>
        <v>17</v>
      </c>
      <c r="D6" s="160">
        <f ca="1">IFERROR(__xludf.DUMMYFUNCTION("""COMPUTED_VALUE"""),57)</f>
        <v>57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</row>
    <row r="7" spans="1:28" ht="14.25" customHeight="1" x14ac:dyDescent="0.25">
      <c r="A7" s="108" t="str">
        <f ca="1">IFERROR(__xludf.DUMMYFUNCTION("""COMPUTED_VALUE"""),"6P")</f>
        <v>6P</v>
      </c>
      <c r="B7" s="108">
        <f ca="1">IFERROR(__xludf.DUMMYFUNCTION("""COMPUTED_VALUE"""),40)</f>
        <v>40</v>
      </c>
      <c r="C7" s="108">
        <f ca="1">IFERROR(__xludf.DUMMYFUNCTION("""COMPUTED_VALUE"""),14)</f>
        <v>14</v>
      </c>
      <c r="D7" s="160">
        <f ca="1">IFERROR(__xludf.DUMMYFUNCTION("""COMPUTED_VALUE"""),152)</f>
        <v>152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 spans="1:28" ht="14.25" customHeight="1" x14ac:dyDescent="0.25">
      <c r="A8" s="108" t="str">
        <f ca="1">IFERROR(__xludf.DUMMYFUNCTION("""COMPUTED_VALUE"""),"7P")</f>
        <v>7P</v>
      </c>
      <c r="B8" s="108">
        <f ca="1">IFERROR(__xludf.DUMMYFUNCTION("""COMPUTED_VALUE"""),140)</f>
        <v>140</v>
      </c>
      <c r="C8" s="108">
        <f ca="1">IFERROR(__xludf.DUMMYFUNCTION("""COMPUTED_VALUE"""),17)</f>
        <v>17</v>
      </c>
      <c r="D8" s="160">
        <f ca="1">IFERROR(__xludf.DUMMYFUNCTION("""COMPUTED_VALUE"""),136)</f>
        <v>136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</row>
    <row r="9" spans="1:28" ht="14.25" customHeight="1" x14ac:dyDescent="0.25">
      <c r="A9" s="108" t="str">
        <f ca="1">IFERROR(__xludf.DUMMYFUNCTION("""COMPUTED_VALUE"""),"8P")</f>
        <v>8P</v>
      </c>
      <c r="B9" s="108">
        <f ca="1">IFERROR(__xludf.DUMMYFUNCTION("""COMPUTED_VALUE"""),58)</f>
        <v>58</v>
      </c>
      <c r="C9" s="108">
        <f ca="1">IFERROR(__xludf.DUMMYFUNCTION("""COMPUTED_VALUE"""),9)</f>
        <v>9</v>
      </c>
      <c r="D9" s="160">
        <f ca="1">IFERROR(__xludf.DUMMYFUNCTION("""COMPUTED_VALUE"""),141)</f>
        <v>141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1:28" ht="14.25" customHeight="1" x14ac:dyDescent="0.25">
      <c r="A10" s="108" t="str">
        <f ca="1">IFERROR(__xludf.DUMMYFUNCTION("""COMPUTED_VALUE"""),"9K")</f>
        <v>9K</v>
      </c>
      <c r="B10" s="108">
        <f ca="1">IFERROR(__xludf.DUMMYFUNCTION("""COMPUTED_VALUE"""),65)</f>
        <v>65</v>
      </c>
      <c r="C10" s="108">
        <f ca="1">IFERROR(__xludf.DUMMYFUNCTION("""COMPUTED_VALUE"""),13)</f>
        <v>13</v>
      </c>
      <c r="D10" s="160">
        <f ca="1">IFERROR(__xludf.DUMMYFUNCTION("""COMPUTED_VALUE"""),27)</f>
        <v>27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</row>
    <row r="11" spans="1:28" ht="14.25" customHeight="1" x14ac:dyDescent="0.25">
      <c r="A11" s="108" t="str">
        <f ca="1">IFERROR(__xludf.DUMMYFUNCTION("""COMPUTED_VALUE"""),"10P")</f>
        <v>10P</v>
      </c>
      <c r="B11" s="108">
        <f ca="1">IFERROR(__xludf.DUMMYFUNCTION("""COMPUTED_VALUE"""),133)</f>
        <v>133</v>
      </c>
      <c r="C11" s="108">
        <f ca="1">IFERROR(__xludf.DUMMYFUNCTION("""COMPUTED_VALUE"""),35)</f>
        <v>35</v>
      </c>
      <c r="D11" s="160">
        <f ca="1">IFERROR(__xludf.DUMMYFUNCTION("""COMPUTED_VALUE"""),147)</f>
        <v>147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</row>
    <row r="12" spans="1:28" ht="14.25" customHeight="1" x14ac:dyDescent="0.25">
      <c r="A12" s="108" t="str">
        <f ca="1">IFERROR(__xludf.DUMMYFUNCTION("""COMPUTED_VALUE"""),"11K")</f>
        <v>11K</v>
      </c>
      <c r="B12" s="108" t="str">
        <f ca="1">IFERROR(__xludf.DUMMYFUNCTION("""COMPUTED_VALUE"""),"N.A.")</f>
        <v>N.A.</v>
      </c>
      <c r="C12" s="108" t="str">
        <f ca="1">IFERROR(__xludf.DUMMYFUNCTION("""COMPUTED_VALUE"""),"N.A.")</f>
        <v>N.A.</v>
      </c>
      <c r="D12" s="160">
        <f ca="1">IFERROR(__xludf.DUMMYFUNCTION("""COMPUTED_VALUE"""),16)</f>
        <v>16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</row>
    <row r="13" spans="1:28" ht="14.25" customHeight="1" x14ac:dyDescent="0.25">
      <c r="A13" s="108" t="str">
        <f ca="1">IFERROR(__xludf.DUMMYFUNCTION("""COMPUTED_VALUE"""),"12K")</f>
        <v>12K</v>
      </c>
      <c r="B13" s="108">
        <f ca="1">IFERROR(__xludf.DUMMYFUNCTION("""COMPUTED_VALUE"""),111)</f>
        <v>111</v>
      </c>
      <c r="C13" s="108">
        <f ca="1">IFERROR(__xludf.DUMMYFUNCTION("""COMPUTED_VALUE"""),1)</f>
        <v>1</v>
      </c>
      <c r="D13" s="160">
        <f ca="1">IFERROR(__xludf.DUMMYFUNCTION("""COMPUTED_VALUE"""),36)</f>
        <v>36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</row>
    <row r="14" spans="1:28" ht="14.25" customHeight="1" x14ac:dyDescent="0.25">
      <c r="A14" s="108" t="str">
        <f ca="1">IFERROR(__xludf.DUMMYFUNCTION("""COMPUTED_VALUE"""),"13P")</f>
        <v>13P</v>
      </c>
      <c r="B14" s="108">
        <f ca="1">IFERROR(__xludf.DUMMYFUNCTION("""COMPUTED_VALUE"""),113)</f>
        <v>113</v>
      </c>
      <c r="C14" s="108">
        <f ca="1">IFERROR(__xludf.DUMMYFUNCTION("""COMPUTED_VALUE"""),42)</f>
        <v>42</v>
      </c>
      <c r="D14" s="160">
        <f ca="1">IFERROR(__xludf.DUMMYFUNCTION("""COMPUTED_VALUE"""),137)</f>
        <v>137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</row>
    <row r="15" spans="1:28" ht="14.25" customHeight="1" x14ac:dyDescent="0.25">
      <c r="A15" s="108" t="str">
        <f ca="1">IFERROR(__xludf.DUMMYFUNCTION("""COMPUTED_VALUE"""),"14K")</f>
        <v>14K</v>
      </c>
      <c r="B15" s="108">
        <f ca="1">IFERROR(__xludf.DUMMYFUNCTION("""COMPUTED_VALUE"""),118)</f>
        <v>118</v>
      </c>
      <c r="C15" s="108">
        <f ca="1">IFERROR(__xludf.DUMMYFUNCTION("""COMPUTED_VALUE"""),1)</f>
        <v>1</v>
      </c>
      <c r="D15" s="160">
        <f ca="1">IFERROR(__xludf.DUMMYFUNCTION("""COMPUTED_VALUE"""),17)</f>
        <v>17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</row>
    <row r="16" spans="1:28" ht="14.25" customHeight="1" x14ac:dyDescent="0.25">
      <c r="A16" s="108" t="str">
        <f ca="1">IFERROR(__xludf.DUMMYFUNCTION("""COMPUTED_VALUE"""),"15P")</f>
        <v>15P</v>
      </c>
      <c r="B16" s="108">
        <f ca="1">IFERROR(__xludf.DUMMYFUNCTION("""COMPUTED_VALUE"""),65)</f>
        <v>65</v>
      </c>
      <c r="C16" s="108">
        <f ca="1">IFERROR(__xludf.DUMMYFUNCTION("""COMPUTED_VALUE"""),20)</f>
        <v>20</v>
      </c>
      <c r="D16" s="160">
        <f ca="1">IFERROR(__xludf.DUMMYFUNCTION("""COMPUTED_VALUE"""),153)</f>
        <v>153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</row>
    <row r="17" spans="1:28" ht="14.25" customHeight="1" x14ac:dyDescent="0.25">
      <c r="A17" s="108" t="str">
        <f ca="1">IFERROR(__xludf.DUMMYFUNCTION("""COMPUTED_VALUE"""),"16K")</f>
        <v>16K</v>
      </c>
      <c r="B17" s="108">
        <f ca="1">IFERROR(__xludf.DUMMYFUNCTION("""COMPUTED_VALUE"""),122)</f>
        <v>122</v>
      </c>
      <c r="C17" s="108">
        <f ca="1">IFERROR(__xludf.DUMMYFUNCTION("""COMPUTED_VALUE"""),24)</f>
        <v>24</v>
      </c>
      <c r="D17" s="160">
        <f ca="1">IFERROR(__xludf.DUMMYFUNCTION("""COMPUTED_VALUE"""),46)</f>
        <v>46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</row>
    <row r="18" spans="1:28" ht="14.25" customHeight="1" x14ac:dyDescent="0.25">
      <c r="A18" s="108" t="str">
        <f ca="1">IFERROR(__xludf.DUMMYFUNCTION("""COMPUTED_VALUE"""),"17K")</f>
        <v>17K</v>
      </c>
      <c r="B18" s="108">
        <f ca="1">IFERROR(__xludf.DUMMYFUNCTION("""COMPUTED_VALUE"""),104)</f>
        <v>104</v>
      </c>
      <c r="C18" s="108">
        <f ca="1">IFERROR(__xludf.DUMMYFUNCTION("""COMPUTED_VALUE"""),56)</f>
        <v>56</v>
      </c>
      <c r="D18" s="160">
        <f ca="1">IFERROR(__xludf.DUMMYFUNCTION("""COMPUTED_VALUE"""),40)</f>
        <v>40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</row>
    <row r="19" spans="1:28" ht="14.25" customHeight="1" x14ac:dyDescent="0.25">
      <c r="A19" s="108" t="str">
        <f ca="1">IFERROR(__xludf.DUMMYFUNCTION("""COMPUTED_VALUE"""),"18P")</f>
        <v>18P</v>
      </c>
      <c r="B19" s="108">
        <f ca="1">IFERROR(__xludf.DUMMYFUNCTION("""COMPUTED_VALUE"""),149)</f>
        <v>149</v>
      </c>
      <c r="C19" s="108">
        <f ca="1">IFERROR(__xludf.DUMMYFUNCTION("""COMPUTED_VALUE"""),0)</f>
        <v>0</v>
      </c>
      <c r="D19" s="160">
        <f ca="1">IFERROR(__xludf.DUMMYFUNCTION("""COMPUTED_VALUE"""),114)</f>
        <v>114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</row>
    <row r="20" spans="1:28" ht="14.25" customHeight="1" x14ac:dyDescent="0.25">
      <c r="A20" s="108" t="str">
        <f ca="1">IFERROR(__xludf.DUMMYFUNCTION("""COMPUTED_VALUE"""),"19P")</f>
        <v>19P</v>
      </c>
      <c r="B20" s="108">
        <f ca="1">IFERROR(__xludf.DUMMYFUNCTION("""COMPUTED_VALUE"""),149)</f>
        <v>149</v>
      </c>
      <c r="C20" s="108">
        <f ca="1">IFERROR(__xludf.DUMMYFUNCTION("""COMPUTED_VALUE"""),0)</f>
        <v>0</v>
      </c>
      <c r="D20" s="160">
        <f ca="1">IFERROR(__xludf.DUMMYFUNCTION("""COMPUTED_VALUE"""),135)</f>
        <v>135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</row>
    <row r="21" spans="1:28" ht="14.25" customHeight="1" x14ac:dyDescent="0.25">
      <c r="A21" s="108" t="str">
        <f ca="1">IFERROR(__xludf.DUMMYFUNCTION("""COMPUTED_VALUE"""),"20P")</f>
        <v>20P</v>
      </c>
      <c r="B21" s="108">
        <f ca="1">IFERROR(__xludf.DUMMYFUNCTION("""COMPUTED_VALUE"""),114)</f>
        <v>114</v>
      </c>
      <c r="C21" s="108">
        <f ca="1">IFERROR(__xludf.DUMMYFUNCTION("""COMPUTED_VALUE"""),9)</f>
        <v>9</v>
      </c>
      <c r="D21" s="160">
        <f ca="1">IFERROR(__xludf.DUMMYFUNCTION("""COMPUTED_VALUE"""),153)</f>
        <v>153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 spans="1:28" ht="14.25" customHeight="1" x14ac:dyDescent="0.25">
      <c r="A22" s="108" t="str">
        <f ca="1">IFERROR(__xludf.DUMMYFUNCTION("""COMPUTED_VALUE"""),"21K")</f>
        <v>21K</v>
      </c>
      <c r="B22" s="108">
        <f ca="1">IFERROR(__xludf.DUMMYFUNCTION("""COMPUTED_VALUE"""),137)</f>
        <v>137</v>
      </c>
      <c r="C22" s="108">
        <f ca="1">IFERROR(__xludf.DUMMYFUNCTION("""COMPUTED_VALUE"""),38)</f>
        <v>38</v>
      </c>
      <c r="D22" s="160">
        <f ca="1">IFERROR(__xludf.DUMMYFUNCTION("""COMPUTED_VALUE"""),34)</f>
        <v>34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</row>
    <row r="23" spans="1:28" ht="14.25" customHeight="1" x14ac:dyDescent="0.25">
      <c r="A23" s="108" t="str">
        <f ca="1">IFERROR(__xludf.DUMMYFUNCTION("""COMPUTED_VALUE"""),"22K")</f>
        <v>22K</v>
      </c>
      <c r="B23" s="108">
        <f ca="1">IFERROR(__xludf.DUMMYFUNCTION("""COMPUTED_VALUE"""),111)</f>
        <v>111</v>
      </c>
      <c r="C23" s="108">
        <f ca="1">IFERROR(__xludf.DUMMYFUNCTION("""COMPUTED_VALUE"""),54)</f>
        <v>54</v>
      </c>
      <c r="D23" s="160">
        <f ca="1">IFERROR(__xludf.DUMMYFUNCTION("""COMPUTED_VALUE"""),17)</f>
        <v>17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</row>
    <row r="24" spans="1:28" ht="14.25" customHeight="1" x14ac:dyDescent="0.25">
      <c r="A24" s="108" t="str">
        <f ca="1">IFERROR(__xludf.DUMMYFUNCTION("""COMPUTED_VALUE"""),"23K")</f>
        <v>23K</v>
      </c>
      <c r="B24" s="108" t="str">
        <f ca="1">IFERROR(__xludf.DUMMYFUNCTION("""COMPUTED_VALUE"""),"N.A.")</f>
        <v>N.A.</v>
      </c>
      <c r="C24" s="108" t="str">
        <f ca="1">IFERROR(__xludf.DUMMYFUNCTION("""COMPUTED_VALUE"""),"N.A.")</f>
        <v>N.A.</v>
      </c>
      <c r="D24" s="160">
        <f ca="1">IFERROR(__xludf.DUMMYFUNCTION("""COMPUTED_VALUE"""),57)</f>
        <v>57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</row>
    <row r="25" spans="1:28" ht="14.25" customHeight="1" x14ac:dyDescent="0.25">
      <c r="A25" s="108" t="str">
        <f ca="1">IFERROR(__xludf.DUMMYFUNCTION("""COMPUTED_VALUE"""),"24K")</f>
        <v>24K</v>
      </c>
      <c r="B25" s="108">
        <f ca="1">IFERROR(__xludf.DUMMYFUNCTION("""COMPUTED_VALUE"""),129)</f>
        <v>129</v>
      </c>
      <c r="C25" s="108">
        <f ca="1">IFERROR(__xludf.DUMMYFUNCTION("""COMPUTED_VALUE"""),8)</f>
        <v>8</v>
      </c>
      <c r="D25" s="160">
        <f ca="1">IFERROR(__xludf.DUMMYFUNCTION("""COMPUTED_VALUE"""),47)</f>
        <v>47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</row>
    <row r="26" spans="1:28" ht="14.25" customHeight="1" x14ac:dyDescent="0.25">
      <c r="A26" s="108" t="str">
        <f ca="1">IFERROR(__xludf.DUMMYFUNCTION("""COMPUTED_VALUE"""),"25P")</f>
        <v>25P</v>
      </c>
      <c r="B26" s="108">
        <f ca="1">IFERROR(__xludf.DUMMYFUNCTION("""COMPUTED_VALUE"""),160)</f>
        <v>160</v>
      </c>
      <c r="C26" s="108">
        <f ca="1">IFERROR(__xludf.DUMMYFUNCTION("""COMPUTED_VALUE"""),70)</f>
        <v>70</v>
      </c>
      <c r="D26" s="160">
        <f ca="1">IFERROR(__xludf.DUMMYFUNCTION("""COMPUTED_VALUE"""),152)</f>
        <v>152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</row>
    <row r="27" spans="1:28" ht="14.25" customHeight="1" x14ac:dyDescent="0.25">
      <c r="A27" s="108" t="str">
        <f ca="1">IFERROR(__xludf.DUMMYFUNCTION("""COMPUTED_VALUE"""),"26P")</f>
        <v>26P</v>
      </c>
      <c r="B27" s="108">
        <f ca="1">IFERROR(__xludf.DUMMYFUNCTION("""COMPUTED_VALUE"""),126)</f>
        <v>126</v>
      </c>
      <c r="C27" s="108">
        <f ca="1">IFERROR(__xludf.DUMMYFUNCTION("""COMPUTED_VALUE"""),7)</f>
        <v>7</v>
      </c>
      <c r="D27" s="160">
        <f ca="1">IFERROR(__xludf.DUMMYFUNCTION("""COMPUTED_VALUE"""),15)</f>
        <v>15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</row>
    <row r="28" spans="1:28" ht="14.25" customHeight="1" x14ac:dyDescent="0.25">
      <c r="A28" s="108" t="str">
        <f ca="1">IFERROR(__xludf.DUMMYFUNCTION("""COMPUTED_VALUE"""),"27P")</f>
        <v>27P</v>
      </c>
      <c r="B28" s="108">
        <f ca="1">IFERROR(__xludf.DUMMYFUNCTION("""COMPUTED_VALUE"""),107)</f>
        <v>107</v>
      </c>
      <c r="C28" s="108">
        <f ca="1">IFERROR(__xludf.DUMMYFUNCTION("""COMPUTED_VALUE"""),18)</f>
        <v>18</v>
      </c>
      <c r="D28" s="160">
        <f ca="1">IFERROR(__xludf.DUMMYFUNCTION("""COMPUTED_VALUE"""),139)</f>
        <v>139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</row>
    <row r="29" spans="1:28" ht="14.25" customHeight="1" x14ac:dyDescent="0.25">
      <c r="A29" s="108" t="str">
        <f ca="1">IFERROR(__xludf.DUMMYFUNCTION("""COMPUTED_VALUE"""),"28K")</f>
        <v>28K</v>
      </c>
      <c r="B29" s="108">
        <f ca="1">IFERROR(__xludf.DUMMYFUNCTION("""COMPUTED_VALUE"""),81)</f>
        <v>81</v>
      </c>
      <c r="C29" s="108">
        <f ca="1">IFERROR(__xludf.DUMMYFUNCTION("""COMPUTED_VALUE"""),2)</f>
        <v>2</v>
      </c>
      <c r="D29" s="160">
        <f ca="1">IFERROR(__xludf.DUMMYFUNCTION("""COMPUTED_VALUE"""),135)</f>
        <v>135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</row>
    <row r="30" spans="1:28" ht="14.25" customHeight="1" x14ac:dyDescent="0.25">
      <c r="A30" s="108" t="str">
        <f ca="1">IFERROR(__xludf.DUMMYFUNCTION("""COMPUTED_VALUE"""),"29K")</f>
        <v>29K</v>
      </c>
      <c r="B30" s="108">
        <f ca="1">IFERROR(__xludf.DUMMYFUNCTION("""COMPUTED_VALUE"""),65)</f>
        <v>65</v>
      </c>
      <c r="C30" s="108">
        <f ca="1">IFERROR(__xludf.DUMMYFUNCTION("""COMPUTED_VALUE"""),33)</f>
        <v>33</v>
      </c>
      <c r="D30" s="160">
        <f ca="1">IFERROR(__xludf.DUMMYFUNCTION("""COMPUTED_VALUE"""),36)</f>
        <v>36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</row>
    <row r="31" spans="1:28" ht="14.25" customHeight="1" x14ac:dyDescent="0.25">
      <c r="A31" s="108" t="str">
        <f ca="1">IFERROR(__xludf.DUMMYFUNCTION("""COMPUTED_VALUE"""),"30K")</f>
        <v>30K</v>
      </c>
      <c r="B31" s="108" t="str">
        <f ca="1">IFERROR(__xludf.DUMMYFUNCTION("""COMPUTED_VALUE"""),"N.A.")</f>
        <v>N.A.</v>
      </c>
      <c r="C31" s="108" t="str">
        <f ca="1">IFERROR(__xludf.DUMMYFUNCTION("""COMPUTED_VALUE"""),"N.A.")</f>
        <v>N.A.</v>
      </c>
      <c r="D31" s="160">
        <f ca="1">IFERROR(__xludf.DUMMYFUNCTION("""COMPUTED_VALUE"""),7)</f>
        <v>7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</row>
    <row r="32" spans="1:28" ht="14.25" customHeight="1" x14ac:dyDescent="0.25">
      <c r="A32" s="108" t="str">
        <f ca="1">IFERROR(__xludf.DUMMYFUNCTION("""COMPUTED_VALUE"""),"31K")</f>
        <v>31K</v>
      </c>
      <c r="B32" s="108">
        <f ca="1">IFERROR(__xludf.DUMMYFUNCTION("""COMPUTED_VALUE"""),112)</f>
        <v>112</v>
      </c>
      <c r="C32" s="108">
        <f ca="1">IFERROR(__xludf.DUMMYFUNCTION("""COMPUTED_VALUE"""),10)</f>
        <v>10</v>
      </c>
      <c r="D32" s="160">
        <f ca="1">IFERROR(__xludf.DUMMYFUNCTION("""COMPUTED_VALUE"""),147)</f>
        <v>147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</row>
    <row r="33" spans="1:28" ht="14.25" customHeight="1" x14ac:dyDescent="0.25">
      <c r="A33" s="108" t="str">
        <f ca="1">IFERROR(__xludf.DUMMYFUNCTION("""COMPUTED_VALUE"""),"32K")</f>
        <v>32K</v>
      </c>
      <c r="B33" s="108">
        <f ca="1">IFERROR(__xludf.DUMMYFUNCTION("""COMPUTED_VALUE"""),117)</f>
        <v>117</v>
      </c>
      <c r="C33" s="108">
        <f ca="1">IFERROR(__xludf.DUMMYFUNCTION("""COMPUTED_VALUE"""),25)</f>
        <v>25</v>
      </c>
      <c r="D33" s="160">
        <f ca="1">IFERROR(__xludf.DUMMYFUNCTION("""COMPUTED_VALUE"""),21)</f>
        <v>21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</row>
    <row r="34" spans="1:28" ht="14.25" customHeight="1" x14ac:dyDescent="0.25">
      <c r="A34" s="108" t="str">
        <f ca="1">IFERROR(__xludf.DUMMYFUNCTION("""COMPUTED_VALUE"""),"33P")</f>
        <v>33P</v>
      </c>
      <c r="B34" s="108">
        <f ca="1">IFERROR(__xludf.DUMMYFUNCTION("""COMPUTED_VALUE"""),104)</f>
        <v>104</v>
      </c>
      <c r="C34" s="108">
        <f ca="1">IFERROR(__xludf.DUMMYFUNCTION("""COMPUTED_VALUE"""),23)</f>
        <v>23</v>
      </c>
      <c r="D34" s="160">
        <f ca="1">IFERROR(__xludf.DUMMYFUNCTION("""COMPUTED_VALUE"""),45)</f>
        <v>45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</row>
    <row r="35" spans="1:28" ht="14.25" customHeight="1" x14ac:dyDescent="0.25">
      <c r="A35" s="108" t="str">
        <f ca="1">IFERROR(__xludf.DUMMYFUNCTION("""COMPUTED_VALUE"""),"34K")</f>
        <v>34K</v>
      </c>
      <c r="B35" s="108">
        <f ca="1">IFERROR(__xludf.DUMMYFUNCTION("""COMPUTED_VALUE"""),63)</f>
        <v>63</v>
      </c>
      <c r="C35" s="108">
        <f ca="1">IFERROR(__xludf.DUMMYFUNCTION("""COMPUTED_VALUE"""),4)</f>
        <v>4</v>
      </c>
      <c r="D35" s="160">
        <f ca="1">IFERROR(__xludf.DUMMYFUNCTION("""COMPUTED_VALUE"""),36)</f>
        <v>36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</row>
    <row r="36" spans="1:28" ht="14.25" customHeight="1" x14ac:dyDescent="0.25">
      <c r="A36" s="108" t="str">
        <f ca="1">IFERROR(__xludf.DUMMYFUNCTION("""COMPUTED_VALUE"""),"35K")</f>
        <v>35K</v>
      </c>
      <c r="B36" s="108" t="str">
        <f ca="1">IFERROR(__xludf.DUMMYFUNCTION("""COMPUTED_VALUE"""),"N.A.")</f>
        <v>N.A.</v>
      </c>
      <c r="C36" s="108" t="str">
        <f ca="1">IFERROR(__xludf.DUMMYFUNCTION("""COMPUTED_VALUE"""),"N.A.")</f>
        <v>N.A.</v>
      </c>
      <c r="D36" s="160">
        <f ca="1">IFERROR(__xludf.DUMMYFUNCTION("""COMPUTED_VALUE"""),45)</f>
        <v>45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</row>
    <row r="37" spans="1:28" ht="14.25" customHeight="1" x14ac:dyDescent="0.25">
      <c r="A37" s="108" t="str">
        <f ca="1">IFERROR(__xludf.DUMMYFUNCTION("""COMPUTED_VALUE"""),"36K")</f>
        <v>36K</v>
      </c>
      <c r="B37" s="108" t="str">
        <f ca="1">IFERROR(__xludf.DUMMYFUNCTION("""COMPUTED_VALUE"""),"N.A.")</f>
        <v>N.A.</v>
      </c>
      <c r="C37" s="108" t="str">
        <f ca="1">IFERROR(__xludf.DUMMYFUNCTION("""COMPUTED_VALUE"""),"N.A.")</f>
        <v>N.A.</v>
      </c>
      <c r="D37" s="160">
        <f ca="1">IFERROR(__xludf.DUMMYFUNCTION("""COMPUTED_VALUE"""),144)</f>
        <v>144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</row>
    <row r="38" spans="1:28" ht="14.25" customHeight="1" x14ac:dyDescent="0.25">
      <c r="A38" s="108" t="str">
        <f ca="1">IFERROR(__xludf.DUMMYFUNCTION("""COMPUTED_VALUE"""),"37K")</f>
        <v>37K</v>
      </c>
      <c r="B38" s="108">
        <f ca="1">IFERROR(__xludf.DUMMYFUNCTION("""COMPUTED_VALUE"""),106)</f>
        <v>106</v>
      </c>
      <c r="C38" s="108">
        <f ca="1">IFERROR(__xludf.DUMMYFUNCTION("""COMPUTED_VALUE"""),3)</f>
        <v>3</v>
      </c>
      <c r="D38" s="160">
        <f ca="1">IFERROR(__xludf.DUMMYFUNCTION("""COMPUTED_VALUE"""),148)</f>
        <v>148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</row>
    <row r="39" spans="1:28" ht="14.25" customHeight="1" x14ac:dyDescent="0.25">
      <c r="A39" s="108" t="str">
        <f ca="1">IFERROR(__xludf.DUMMYFUNCTION("""COMPUTED_VALUE"""),"38P")</f>
        <v>38P</v>
      </c>
      <c r="B39" s="108" t="str">
        <f ca="1">IFERROR(__xludf.DUMMYFUNCTION("""COMPUTED_VALUE"""),"N.A.")</f>
        <v>N.A.</v>
      </c>
      <c r="C39" s="108" t="str">
        <f ca="1">IFERROR(__xludf.DUMMYFUNCTION("""COMPUTED_VALUE"""),"N.A.")</f>
        <v>N.A.</v>
      </c>
      <c r="D39" s="160">
        <f ca="1">IFERROR(__xludf.DUMMYFUNCTION("""COMPUTED_VALUE"""),135)</f>
        <v>135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</row>
    <row r="40" spans="1:28" ht="14.25" customHeight="1" x14ac:dyDescent="0.25">
      <c r="A40" s="108" t="str">
        <f ca="1">IFERROR(__xludf.DUMMYFUNCTION("""COMPUTED_VALUE"""),"39K")</f>
        <v>39K</v>
      </c>
      <c r="B40" s="108" t="str">
        <f ca="1">IFERROR(__xludf.DUMMYFUNCTION("""COMPUTED_VALUE"""),"N.A.")</f>
        <v>N.A.</v>
      </c>
      <c r="C40" s="108" t="str">
        <f ca="1">IFERROR(__xludf.DUMMYFUNCTION("""COMPUTED_VALUE"""),"N.A.")</f>
        <v>N.A.</v>
      </c>
      <c r="D40" s="160">
        <f ca="1">IFERROR(__xludf.DUMMYFUNCTION("""COMPUTED_VALUE"""),45)</f>
        <v>45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</row>
    <row r="41" spans="1:28" ht="14.25" customHeight="1" x14ac:dyDescent="0.25">
      <c r="A41" s="108" t="str">
        <f ca="1">IFERROR(__xludf.DUMMYFUNCTION("""COMPUTED_VALUE"""),"40P")</f>
        <v>40P</v>
      </c>
      <c r="B41" s="108">
        <f ca="1">IFERROR(__xludf.DUMMYFUNCTION("""COMPUTED_VALUE"""),102)</f>
        <v>102</v>
      </c>
      <c r="C41" s="108">
        <f ca="1">IFERROR(__xludf.DUMMYFUNCTION("""COMPUTED_VALUE"""),30)</f>
        <v>30</v>
      </c>
      <c r="D41" s="160">
        <f ca="1">IFERROR(__xludf.DUMMYFUNCTION("""COMPUTED_VALUE"""),155)</f>
        <v>155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</row>
    <row r="42" spans="1:28" ht="14.25" customHeight="1" x14ac:dyDescent="0.25">
      <c r="A42" s="108" t="str">
        <f ca="1">IFERROR(__xludf.DUMMYFUNCTION("""COMPUTED_VALUE"""),"41P")</f>
        <v>41P</v>
      </c>
      <c r="B42" s="108">
        <f ca="1">IFERROR(__xludf.DUMMYFUNCTION("""COMPUTED_VALUE"""),86)</f>
        <v>86</v>
      </c>
      <c r="C42" s="108">
        <f ca="1">IFERROR(__xludf.DUMMYFUNCTION("""COMPUTED_VALUE"""),16)</f>
        <v>16</v>
      </c>
      <c r="D42" s="160">
        <f ca="1">IFERROR(__xludf.DUMMYFUNCTION("""COMPUTED_VALUE"""),105)</f>
        <v>105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</row>
    <row r="43" spans="1:28" ht="14.25" customHeight="1" x14ac:dyDescent="0.25">
      <c r="A43" s="108" t="str">
        <f ca="1">IFERROR(__xludf.DUMMYFUNCTION("""COMPUTED_VALUE"""),"42K")</f>
        <v>42K</v>
      </c>
      <c r="B43" s="108" t="str">
        <f ca="1">IFERROR(__xludf.DUMMYFUNCTION("""COMPUTED_VALUE"""),"N.A.")</f>
        <v>N.A.</v>
      </c>
      <c r="C43" s="108" t="str">
        <f ca="1">IFERROR(__xludf.DUMMYFUNCTION("""COMPUTED_VALUE"""),"N.A.")</f>
        <v>N.A.</v>
      </c>
      <c r="D43" s="160">
        <f ca="1">IFERROR(__xludf.DUMMYFUNCTION("""COMPUTED_VALUE"""),45)</f>
        <v>45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1:28" ht="14.25" customHeight="1" x14ac:dyDescent="0.25">
      <c r="A44" s="108" t="str">
        <f ca="1">IFERROR(__xludf.DUMMYFUNCTION("""COMPUTED_VALUE"""),"43K")</f>
        <v>43K</v>
      </c>
      <c r="B44" s="108" t="str">
        <f ca="1">IFERROR(__xludf.DUMMYFUNCTION("""COMPUTED_VALUE"""),"N.A.")</f>
        <v>N.A.</v>
      </c>
      <c r="C44" s="108" t="str">
        <f ca="1">IFERROR(__xludf.DUMMYFUNCTION("""COMPUTED_VALUE"""),"N.A.")</f>
        <v>N.A.</v>
      </c>
      <c r="D44" s="160">
        <f ca="1">IFERROR(__xludf.DUMMYFUNCTION("""COMPUTED_VALUE"""),21)</f>
        <v>21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</row>
    <row r="45" spans="1:28" ht="14.25" customHeight="1" x14ac:dyDescent="0.25">
      <c r="A45" s="108" t="str">
        <f ca="1">IFERROR(__xludf.DUMMYFUNCTION("""COMPUTED_VALUE"""),"44K")</f>
        <v>44K</v>
      </c>
      <c r="B45" s="108">
        <f ca="1">IFERROR(__xludf.DUMMYFUNCTION("""COMPUTED_VALUE"""),68)</f>
        <v>68</v>
      </c>
      <c r="C45" s="108">
        <f ca="1">IFERROR(__xludf.DUMMYFUNCTION("""COMPUTED_VALUE"""),4)</f>
        <v>4</v>
      </c>
      <c r="D45" s="160">
        <f ca="1">IFERROR(__xludf.DUMMYFUNCTION("""COMPUTED_VALUE"""),119)</f>
        <v>119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</row>
    <row r="46" spans="1:28" ht="14.25" customHeight="1" x14ac:dyDescent="0.25">
      <c r="A46" s="108" t="str">
        <f ca="1">IFERROR(__xludf.DUMMYFUNCTION("""COMPUTED_VALUE"""),"45K")</f>
        <v>45K</v>
      </c>
      <c r="B46" s="108">
        <f ca="1">IFERROR(__xludf.DUMMYFUNCTION("""COMPUTED_VALUE"""),121)</f>
        <v>121</v>
      </c>
      <c r="C46" s="108">
        <f ca="1">IFERROR(__xludf.DUMMYFUNCTION("""COMPUTED_VALUE"""),14)</f>
        <v>14</v>
      </c>
      <c r="D46" s="160">
        <f ca="1">IFERROR(__xludf.DUMMYFUNCTION("""COMPUTED_VALUE"""),104)</f>
        <v>104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</row>
    <row r="47" spans="1:28" ht="14.25" customHeight="1" x14ac:dyDescent="0.25">
      <c r="A47" s="108" t="str">
        <f ca="1">IFERROR(__xludf.DUMMYFUNCTION("""COMPUTED_VALUE"""),"46K")</f>
        <v>46K</v>
      </c>
      <c r="B47" s="108" t="str">
        <f ca="1">IFERROR(__xludf.DUMMYFUNCTION("""COMPUTED_VALUE"""),"N.A.")</f>
        <v>N.A.</v>
      </c>
      <c r="C47" s="108" t="str">
        <f ca="1">IFERROR(__xludf.DUMMYFUNCTION("""COMPUTED_VALUE"""),"N.A.")</f>
        <v>N.A.</v>
      </c>
      <c r="D47" s="160">
        <f ca="1">IFERROR(__xludf.DUMMYFUNCTION("""COMPUTED_VALUE"""),17)</f>
        <v>17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</row>
    <row r="48" spans="1:28" ht="14.25" customHeight="1" x14ac:dyDescent="0.25">
      <c r="A48" s="108" t="str">
        <f ca="1">IFERROR(__xludf.DUMMYFUNCTION("""COMPUTED_VALUE"""),"47K")</f>
        <v>47K</v>
      </c>
      <c r="B48" s="108" t="str">
        <f ca="1">IFERROR(__xludf.DUMMYFUNCTION("""COMPUTED_VALUE"""),"N.A.")</f>
        <v>N.A.</v>
      </c>
      <c r="C48" s="108" t="str">
        <f ca="1">IFERROR(__xludf.DUMMYFUNCTION("""COMPUTED_VALUE"""),"N.A.")</f>
        <v>N.A.</v>
      </c>
      <c r="D48" s="160">
        <f ca="1">IFERROR(__xludf.DUMMYFUNCTION("""COMPUTED_VALUE"""),148)</f>
        <v>148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</row>
    <row r="49" spans="1:28" ht="14.25" customHeight="1" x14ac:dyDescent="0.25">
      <c r="A49" s="108" t="str">
        <f ca="1">IFERROR(__xludf.DUMMYFUNCTION("""COMPUTED_VALUE"""),"48K")</f>
        <v>48K</v>
      </c>
      <c r="B49" s="108" t="str">
        <f ca="1">IFERROR(__xludf.DUMMYFUNCTION("""COMPUTED_VALUE"""),"N.A.")</f>
        <v>N.A.</v>
      </c>
      <c r="C49" s="108" t="str">
        <f ca="1">IFERROR(__xludf.DUMMYFUNCTION("""COMPUTED_VALUE"""),"N.A.")</f>
        <v>N.A.</v>
      </c>
      <c r="D49" s="160">
        <f ca="1">IFERROR(__xludf.DUMMYFUNCTION("""COMPUTED_VALUE"""),152)</f>
        <v>152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</row>
    <row r="50" spans="1:28" ht="14.25" customHeight="1" x14ac:dyDescent="0.25">
      <c r="A50" s="108" t="str">
        <f ca="1">IFERROR(__xludf.DUMMYFUNCTION("""COMPUTED_VALUE"""),"49K")</f>
        <v>49K</v>
      </c>
      <c r="B50" s="108">
        <f ca="1">IFERROR(__xludf.DUMMYFUNCTION("""COMPUTED_VALUE"""),84)</f>
        <v>84</v>
      </c>
      <c r="C50" s="108">
        <f ca="1">IFERROR(__xludf.DUMMYFUNCTION("""COMPUTED_VALUE"""),4)</f>
        <v>4</v>
      </c>
      <c r="D50" s="160">
        <f ca="1">IFERROR(__xludf.DUMMYFUNCTION("""COMPUTED_VALUE"""),26)</f>
        <v>26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</row>
    <row r="51" spans="1:28" ht="14.25" customHeight="1" x14ac:dyDescent="0.25">
      <c r="A51" s="108" t="str">
        <f ca="1">IFERROR(__xludf.DUMMYFUNCTION("""COMPUTED_VALUE"""),"50K")</f>
        <v>50K</v>
      </c>
      <c r="B51" s="108">
        <f ca="1">IFERROR(__xludf.DUMMYFUNCTION("""COMPUTED_VALUE"""),65)</f>
        <v>65</v>
      </c>
      <c r="C51" s="108">
        <f ca="1">IFERROR(__xludf.DUMMYFUNCTION("""COMPUTED_VALUE"""),33)</f>
        <v>33</v>
      </c>
      <c r="D51" s="160">
        <f ca="1">IFERROR(__xludf.DUMMYFUNCTION("""COMPUTED_VALUE"""),36)</f>
        <v>36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</row>
    <row r="52" spans="1:28" ht="14.25" customHeight="1" x14ac:dyDescent="0.25">
      <c r="A52" s="108" t="str">
        <f ca="1">IFERROR(__xludf.DUMMYFUNCTION("""COMPUTED_VALUE"""),"51P")</f>
        <v>51P</v>
      </c>
      <c r="B52" s="108" t="str">
        <f ca="1">IFERROR(__xludf.DUMMYFUNCTION("""COMPUTED_VALUE"""),"N.A.")</f>
        <v>N.A.</v>
      </c>
      <c r="C52" s="108" t="str">
        <f ca="1">IFERROR(__xludf.DUMMYFUNCTION("""COMPUTED_VALUE"""),"N.A.")</f>
        <v>N.A.</v>
      </c>
      <c r="D52" s="160">
        <f ca="1">IFERROR(__xludf.DUMMYFUNCTION("""COMPUTED_VALUE"""),68)</f>
        <v>68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</row>
    <row r="53" spans="1:28" ht="14.25" customHeight="1" x14ac:dyDescent="0.25">
      <c r="A53" s="108" t="str">
        <f ca="1">IFERROR(__xludf.DUMMYFUNCTION("""COMPUTED_VALUE"""),"52K")</f>
        <v>52K</v>
      </c>
      <c r="B53" s="108" t="str">
        <f ca="1">IFERROR(__xludf.DUMMYFUNCTION("""COMPUTED_VALUE"""),"N.A.")</f>
        <v>N.A.</v>
      </c>
      <c r="C53" s="108" t="str">
        <f ca="1">IFERROR(__xludf.DUMMYFUNCTION("""COMPUTED_VALUE"""),"N.A.")</f>
        <v>N.A.</v>
      </c>
      <c r="D53" s="160">
        <f ca="1">IFERROR(__xludf.DUMMYFUNCTION("""COMPUTED_VALUE"""),72)</f>
        <v>72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</row>
    <row r="54" spans="1:28" ht="14.25" customHeight="1" x14ac:dyDescent="0.25">
      <c r="A54" s="108" t="str">
        <f ca="1">IFERROR(__xludf.DUMMYFUNCTION("""COMPUTED_VALUE"""),"53K")</f>
        <v>53K</v>
      </c>
      <c r="B54" s="108">
        <f ca="1">IFERROR(__xludf.DUMMYFUNCTION("""COMPUTED_VALUE"""),81)</f>
        <v>81</v>
      </c>
      <c r="C54" s="108">
        <f ca="1">IFERROR(__xludf.DUMMYFUNCTION("""COMPUTED_VALUE"""),3)</f>
        <v>3</v>
      </c>
      <c r="D54" s="160">
        <f ca="1">IFERROR(__xludf.DUMMYFUNCTION("""COMPUTED_VALUE"""),10)</f>
        <v>10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</row>
    <row r="55" spans="1:28" ht="14.25" customHeight="1" x14ac:dyDescent="0.25">
      <c r="A55" s="108" t="str">
        <f ca="1">IFERROR(__xludf.DUMMYFUNCTION("""COMPUTED_VALUE"""),"54K")</f>
        <v>54K</v>
      </c>
      <c r="B55" s="108">
        <f ca="1">IFERROR(__xludf.DUMMYFUNCTION("""COMPUTED_VALUE"""),130)</f>
        <v>130</v>
      </c>
      <c r="C55" s="108">
        <f ca="1">IFERROR(__xludf.DUMMYFUNCTION("""COMPUTED_VALUE"""),0)</f>
        <v>0</v>
      </c>
      <c r="D55" s="160">
        <f ca="1">IFERROR(__xludf.DUMMYFUNCTION("""COMPUTED_VALUE"""),15)</f>
        <v>15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</row>
    <row r="56" spans="1:28" ht="14.25" customHeight="1" x14ac:dyDescent="0.25">
      <c r="A56" s="108" t="str">
        <f ca="1">IFERROR(__xludf.DUMMYFUNCTION("""COMPUTED_VALUE"""),"55K")</f>
        <v>55K</v>
      </c>
      <c r="B56" s="108" t="str">
        <f ca="1">IFERROR(__xludf.DUMMYFUNCTION("""COMPUTED_VALUE"""),"N.A.")</f>
        <v>N.A.</v>
      </c>
      <c r="C56" s="108" t="str">
        <f ca="1">IFERROR(__xludf.DUMMYFUNCTION("""COMPUTED_VALUE"""),"N.A.")</f>
        <v>N.A.</v>
      </c>
      <c r="D56" s="160">
        <f ca="1">IFERROR(__xludf.DUMMYFUNCTION("""COMPUTED_VALUE"""),45)</f>
        <v>45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</row>
    <row r="57" spans="1:28" ht="14.25" customHeight="1" x14ac:dyDescent="0.25">
      <c r="A57" s="108" t="str">
        <f ca="1">IFERROR(__xludf.DUMMYFUNCTION("""COMPUTED_VALUE"""),"56K")</f>
        <v>56K</v>
      </c>
      <c r="B57" s="108">
        <f ca="1">IFERROR(__xludf.DUMMYFUNCTION("""COMPUTED_VALUE"""),70)</f>
        <v>70</v>
      </c>
      <c r="C57" s="108">
        <f ca="1">IFERROR(__xludf.DUMMYFUNCTION("""COMPUTED_VALUE"""),3)</f>
        <v>3</v>
      </c>
      <c r="D57" s="160">
        <f ca="1">IFERROR(__xludf.DUMMYFUNCTION("""COMPUTED_VALUE"""),58)</f>
        <v>58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</row>
    <row r="58" spans="1:28" ht="14.25" customHeight="1" x14ac:dyDescent="0.25">
      <c r="A58" s="108" t="str">
        <f ca="1">IFERROR(__xludf.DUMMYFUNCTION("""COMPUTED_VALUE"""),"57K")</f>
        <v>57K</v>
      </c>
      <c r="B58" s="108" t="str">
        <f ca="1">IFERROR(__xludf.DUMMYFUNCTION("""COMPUTED_VALUE"""),"N.A.")</f>
        <v>N.A.</v>
      </c>
      <c r="C58" s="108">
        <f ca="1">IFERROR(__xludf.DUMMYFUNCTION("""COMPUTED_VALUE"""),0)</f>
        <v>0</v>
      </c>
      <c r="D58" s="160">
        <f ca="1">IFERROR(__xludf.DUMMYFUNCTION("""COMPUTED_VALUE"""),67)</f>
        <v>67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</row>
    <row r="59" spans="1:28" ht="14.25" customHeight="1" x14ac:dyDescent="0.25">
      <c r="A59" s="108" t="str">
        <f ca="1">IFERROR(__xludf.DUMMYFUNCTION("""COMPUTED_VALUE"""),"58K")</f>
        <v>58K</v>
      </c>
      <c r="B59" s="108">
        <f ca="1">IFERROR(__xludf.DUMMYFUNCTION("""COMPUTED_VALUE"""),122)</f>
        <v>122</v>
      </c>
      <c r="C59" s="108">
        <f ca="1">IFERROR(__xludf.DUMMYFUNCTION("""COMPUTED_VALUE"""),24)</f>
        <v>24</v>
      </c>
      <c r="D59" s="160">
        <f ca="1">IFERROR(__xludf.DUMMYFUNCTION("""COMPUTED_VALUE"""),148)</f>
        <v>148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</row>
    <row r="60" spans="1:28" ht="14.25" customHeight="1" x14ac:dyDescent="0.25">
      <c r="A60" s="108" t="str">
        <f ca="1">IFERROR(__xludf.DUMMYFUNCTION("""COMPUTED_VALUE"""),"59K")</f>
        <v>59K</v>
      </c>
      <c r="B60" s="108" t="str">
        <f ca="1">IFERROR(__xludf.DUMMYFUNCTION("""COMPUTED_VALUE"""),"N.A.")</f>
        <v>N.A.</v>
      </c>
      <c r="C60" s="108" t="str">
        <f ca="1">IFERROR(__xludf.DUMMYFUNCTION("""COMPUTED_VALUE"""),"N.A.")</f>
        <v>N.A.</v>
      </c>
      <c r="D60" s="160">
        <f ca="1">IFERROR(__xludf.DUMMYFUNCTION("""COMPUTED_VALUE"""),72)</f>
        <v>72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</row>
    <row r="61" spans="1:28" ht="14.25" customHeight="1" x14ac:dyDescent="0.25">
      <c r="A61" s="108" t="str">
        <f ca="1">IFERROR(__xludf.DUMMYFUNCTION("""COMPUTED_VALUE"""),"60P")</f>
        <v>60P</v>
      </c>
      <c r="B61" s="108" t="str">
        <f ca="1">IFERROR(__xludf.DUMMYFUNCTION("""COMPUTED_VALUE"""),"N.A.")</f>
        <v>N.A.</v>
      </c>
      <c r="C61" s="108" t="str">
        <f ca="1">IFERROR(__xludf.DUMMYFUNCTION("""COMPUTED_VALUE"""),"N.A.")</f>
        <v>N.A.</v>
      </c>
      <c r="D61" s="160">
        <f ca="1">IFERROR(__xludf.DUMMYFUNCTION("""COMPUTED_VALUE"""),67)</f>
        <v>67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</row>
    <row r="62" spans="1:28" ht="14.25" customHeight="1" x14ac:dyDescent="0.25">
      <c r="A62" s="108" t="str">
        <f ca="1">IFERROR(__xludf.DUMMYFUNCTION("""COMPUTED_VALUE"""),"61K")</f>
        <v>61K</v>
      </c>
      <c r="B62" s="108" t="str">
        <f ca="1">IFERROR(__xludf.DUMMYFUNCTION("""COMPUTED_VALUE"""),"N.A.")</f>
        <v>N.A.</v>
      </c>
      <c r="C62" s="108" t="str">
        <f ca="1">IFERROR(__xludf.DUMMYFUNCTION("""COMPUTED_VALUE"""),"N.A.")</f>
        <v>N.A.</v>
      </c>
      <c r="D62" s="160">
        <f ca="1">IFERROR(__xludf.DUMMYFUNCTION("""COMPUTED_VALUE"""),16)</f>
        <v>16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</row>
    <row r="63" spans="1:28" ht="14.25" customHeight="1" x14ac:dyDescent="0.25">
      <c r="A63" s="108" t="str">
        <f ca="1">IFERROR(__xludf.DUMMYFUNCTION("""COMPUTED_VALUE"""),"62K")</f>
        <v>62K</v>
      </c>
      <c r="B63" s="108">
        <f ca="1">IFERROR(__xludf.DUMMYFUNCTION("""COMPUTED_VALUE"""),76)</f>
        <v>76</v>
      </c>
      <c r="C63" s="108">
        <f ca="1">IFERROR(__xludf.DUMMYFUNCTION("""COMPUTED_VALUE"""),10)</f>
        <v>10</v>
      </c>
      <c r="D63" s="160">
        <f ca="1">IFERROR(__xludf.DUMMYFUNCTION("""COMPUTED_VALUE"""),34)</f>
        <v>34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</row>
    <row r="64" spans="1:28" ht="14.25" customHeight="1" x14ac:dyDescent="0.25">
      <c r="A64" s="108" t="str">
        <f ca="1">IFERROR(__xludf.DUMMYFUNCTION("""COMPUTED_VALUE"""),"63K")</f>
        <v>63K</v>
      </c>
      <c r="B64" s="108">
        <f ca="1">IFERROR(__xludf.DUMMYFUNCTION("""COMPUTED_VALUE"""),105)</f>
        <v>105</v>
      </c>
      <c r="C64" s="108">
        <f ca="1">IFERROR(__xludf.DUMMYFUNCTION("""COMPUTED_VALUE"""),8)</f>
        <v>8</v>
      </c>
      <c r="D64" s="160">
        <f ca="1">IFERROR(__xludf.DUMMYFUNCTION("""COMPUTED_VALUE"""),39)</f>
        <v>39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</row>
    <row r="65" spans="1:28" ht="14.25" customHeight="1" x14ac:dyDescent="0.25">
      <c r="A65" s="108" t="str">
        <f ca="1">IFERROR(__xludf.DUMMYFUNCTION("""COMPUTED_VALUE"""),"64P")</f>
        <v>64P</v>
      </c>
      <c r="B65" s="108">
        <f ca="1">IFERROR(__xludf.DUMMYFUNCTION("""COMPUTED_VALUE"""),81)</f>
        <v>81</v>
      </c>
      <c r="C65" s="108" t="str">
        <f ca="1">IFERROR(__xludf.DUMMYFUNCTION("""COMPUTED_VALUE"""),"N.A.")</f>
        <v>N.A.</v>
      </c>
      <c r="D65" s="160">
        <f ca="1">IFERROR(__xludf.DUMMYFUNCTION("""COMPUTED_VALUE"""),45)</f>
        <v>45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</row>
    <row r="66" spans="1:28" ht="14.25" customHeight="1" x14ac:dyDescent="0.25">
      <c r="A66" s="108" t="str">
        <f ca="1">IFERROR(__xludf.DUMMYFUNCTION("""COMPUTED_VALUE"""),"65K")</f>
        <v>65K</v>
      </c>
      <c r="B66" s="108">
        <f ca="1">IFERROR(__xludf.DUMMYFUNCTION("""COMPUTED_VALUE"""),75)</f>
        <v>75</v>
      </c>
      <c r="C66" s="108">
        <f ca="1">IFERROR(__xludf.DUMMYFUNCTION("""COMPUTED_VALUE"""),4)</f>
        <v>4</v>
      </c>
      <c r="D66" s="160">
        <f ca="1">IFERROR(__xludf.DUMMYFUNCTION("""COMPUTED_VALUE"""),8)</f>
        <v>8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</row>
    <row r="67" spans="1:28" ht="14.25" customHeight="1" x14ac:dyDescent="0.25">
      <c r="A67" s="108" t="str">
        <f ca="1">IFERROR(__xludf.DUMMYFUNCTION("""COMPUTED_VALUE"""),"66P")</f>
        <v>66P</v>
      </c>
      <c r="B67" s="108">
        <f ca="1">IFERROR(__xludf.DUMMYFUNCTION("""COMPUTED_VALUE"""),105)</f>
        <v>105</v>
      </c>
      <c r="C67" s="108">
        <f ca="1">IFERROR(__xludf.DUMMYFUNCTION("""COMPUTED_VALUE"""),0)</f>
        <v>0</v>
      </c>
      <c r="D67" s="160">
        <f ca="1">IFERROR(__xludf.DUMMYFUNCTION("""COMPUTED_VALUE"""),38)</f>
        <v>38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</row>
    <row r="68" spans="1:28" ht="14.25" customHeight="1" x14ac:dyDescent="0.25">
      <c r="A68" s="108" t="str">
        <f ca="1">IFERROR(__xludf.DUMMYFUNCTION("""COMPUTED_VALUE"""),"67K")</f>
        <v>67K</v>
      </c>
      <c r="B68" s="108">
        <f ca="1">IFERROR(__xludf.DUMMYFUNCTION("""COMPUTED_VALUE"""),83)</f>
        <v>83</v>
      </c>
      <c r="C68" s="108">
        <f ca="1">IFERROR(__xludf.DUMMYFUNCTION("""COMPUTED_VALUE"""),1)</f>
        <v>1</v>
      </c>
      <c r="D68" s="160">
        <f ca="1">IFERROR(__xludf.DUMMYFUNCTION("""COMPUTED_VALUE"""),16)</f>
        <v>16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</row>
    <row r="69" spans="1:28" ht="14.25" customHeight="1" x14ac:dyDescent="0.25">
      <c r="A69" s="108" t="str">
        <f ca="1">IFERROR(__xludf.DUMMYFUNCTION("""COMPUTED_VALUE"""),"68K")</f>
        <v>68K</v>
      </c>
      <c r="B69" s="108">
        <f ca="1">IFERROR(__xludf.DUMMYFUNCTION("""COMPUTED_VALUE"""),97)</f>
        <v>97</v>
      </c>
      <c r="C69" s="108">
        <f ca="1">IFERROR(__xludf.DUMMYFUNCTION("""COMPUTED_VALUE"""),3)</f>
        <v>3</v>
      </c>
      <c r="D69" s="160">
        <f ca="1">IFERROR(__xludf.DUMMYFUNCTION("""COMPUTED_VALUE"""),32)</f>
        <v>32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</row>
    <row r="70" spans="1:28" ht="14.25" customHeight="1" x14ac:dyDescent="0.25">
      <c r="A70" s="108" t="str">
        <f ca="1">IFERROR(__xludf.DUMMYFUNCTION("""COMPUTED_VALUE"""),"69K")</f>
        <v>69K</v>
      </c>
      <c r="B70" s="108">
        <f ca="1">IFERROR(__xludf.DUMMYFUNCTION("""COMPUTED_VALUE"""),79)</f>
        <v>79</v>
      </c>
      <c r="C70" s="108">
        <f ca="1">IFERROR(__xludf.DUMMYFUNCTION("""COMPUTED_VALUE"""),11)</f>
        <v>11</v>
      </c>
      <c r="D70" s="160">
        <f ca="1">IFERROR(__xludf.DUMMYFUNCTION("""COMPUTED_VALUE"""),117)</f>
        <v>117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</row>
    <row r="71" spans="1:28" ht="14.25" customHeight="1" x14ac:dyDescent="0.25">
      <c r="A71" s="108" t="str">
        <f ca="1">IFERROR(__xludf.DUMMYFUNCTION("""COMPUTED_VALUE"""),"70P")</f>
        <v>70P</v>
      </c>
      <c r="B71" s="108">
        <f ca="1">IFERROR(__xludf.DUMMYFUNCTION("""COMPUTED_VALUE"""),108)</f>
        <v>108</v>
      </c>
      <c r="C71" s="108">
        <f ca="1">IFERROR(__xludf.DUMMYFUNCTION("""COMPUTED_VALUE"""),4)</f>
        <v>4</v>
      </c>
      <c r="D71" s="160">
        <f ca="1">IFERROR(__xludf.DUMMYFUNCTION("""COMPUTED_VALUE"""),16)</f>
        <v>16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</row>
    <row r="72" spans="1:28" ht="14.25" customHeight="1" x14ac:dyDescent="0.25">
      <c r="A72" s="108" t="str">
        <f ca="1">IFERROR(__xludf.DUMMYFUNCTION("""COMPUTED_VALUE"""),"71P")</f>
        <v>71P</v>
      </c>
      <c r="B72" s="108">
        <f ca="1">IFERROR(__xludf.DUMMYFUNCTION("""COMPUTED_VALUE"""),106)</f>
        <v>106</v>
      </c>
      <c r="C72" s="108">
        <f ca="1">IFERROR(__xludf.DUMMYFUNCTION("""COMPUTED_VALUE"""),13)</f>
        <v>13</v>
      </c>
      <c r="D72" s="160">
        <f ca="1">IFERROR(__xludf.DUMMYFUNCTION("""COMPUTED_VALUE"""),27)</f>
        <v>27</v>
      </c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</row>
    <row r="73" spans="1:28" ht="14.25" customHeight="1" x14ac:dyDescent="0.25">
      <c r="A73" s="108" t="str">
        <f ca="1">IFERROR(__xludf.DUMMYFUNCTION("""COMPUTED_VALUE"""),"72K")</f>
        <v>72K</v>
      </c>
      <c r="B73" s="108">
        <f ca="1">IFERROR(__xludf.DUMMYFUNCTION("""COMPUTED_VALUE"""),135)</f>
        <v>135</v>
      </c>
      <c r="C73" s="108">
        <f ca="1">IFERROR(__xludf.DUMMYFUNCTION("""COMPUTED_VALUE"""),17)</f>
        <v>17</v>
      </c>
      <c r="D73" s="160">
        <f ca="1">IFERROR(__xludf.DUMMYFUNCTION("""COMPUTED_VALUE"""),7)</f>
        <v>7</v>
      </c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</row>
    <row r="74" spans="1:28" ht="14.25" customHeight="1" x14ac:dyDescent="0.25">
      <c r="A74" s="108" t="str">
        <f ca="1">IFERROR(__xludf.DUMMYFUNCTION("""COMPUTED_VALUE"""),"73K")</f>
        <v>73K</v>
      </c>
      <c r="B74" s="108">
        <f ca="1">IFERROR(__xludf.DUMMYFUNCTION("""COMPUTED_VALUE"""),86)</f>
        <v>86</v>
      </c>
      <c r="C74" s="108">
        <f ca="1">IFERROR(__xludf.DUMMYFUNCTION("""COMPUTED_VALUE"""),3)</f>
        <v>3</v>
      </c>
      <c r="D74" s="160">
        <f ca="1">IFERROR(__xludf.DUMMYFUNCTION("""COMPUTED_VALUE"""),154)</f>
        <v>154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</row>
    <row r="75" spans="1:28" ht="14.25" customHeight="1" x14ac:dyDescent="0.25">
      <c r="A75" s="108" t="str">
        <f ca="1">IFERROR(__xludf.DUMMYFUNCTION("""COMPUTED_VALUE"""),"74K")</f>
        <v>74K</v>
      </c>
      <c r="B75" s="108" t="str">
        <f ca="1">IFERROR(__xludf.DUMMYFUNCTION("""COMPUTED_VALUE"""),"N.A.")</f>
        <v>N.A.</v>
      </c>
      <c r="C75" s="108" t="str">
        <f ca="1">IFERROR(__xludf.DUMMYFUNCTION("""COMPUTED_VALUE"""),"N.A.")</f>
        <v>N.A.</v>
      </c>
      <c r="D75" s="160">
        <f ca="1">IFERROR(__xludf.DUMMYFUNCTION("""COMPUTED_VALUE"""),16)</f>
        <v>16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</row>
    <row r="76" spans="1:28" ht="15" customHeight="1" x14ac:dyDescent="0.25">
      <c r="A76" s="108" t="str">
        <f ca="1">IFERROR(__xludf.DUMMYFUNCTION("""COMPUTED_VALUE"""),"75K")</f>
        <v>75K</v>
      </c>
      <c r="B76" s="108">
        <f ca="1">IFERROR(__xludf.DUMMYFUNCTION("""COMPUTED_VALUE"""),137)</f>
        <v>137</v>
      </c>
      <c r="C76" s="108">
        <f ca="1">IFERROR(__xludf.DUMMYFUNCTION("""COMPUTED_VALUE"""),86)</f>
        <v>86</v>
      </c>
      <c r="D76" s="160">
        <f ca="1">IFERROR(__xludf.DUMMYFUNCTION("""COMPUTED_VALUE"""),153)</f>
        <v>153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</row>
    <row r="77" spans="1:28" ht="14.25" customHeight="1" x14ac:dyDescent="0.25">
      <c r="A77" s="108" t="str">
        <f ca="1">IFERROR(__xludf.DUMMYFUNCTION("""COMPUTED_VALUE"""),"77P")</f>
        <v>77P</v>
      </c>
      <c r="B77" s="108" t="str">
        <f ca="1">IFERROR(__xludf.DUMMYFUNCTION("""COMPUTED_VALUE"""),"N.A.")</f>
        <v>N.A.</v>
      </c>
      <c r="C77" s="108" t="str">
        <f ca="1">IFERROR(__xludf.DUMMYFUNCTION("""COMPUTED_VALUE"""),"N.A.")</f>
        <v>N.A.</v>
      </c>
      <c r="D77" s="160">
        <f ca="1">IFERROR(__xludf.DUMMYFUNCTION("""COMPUTED_VALUE"""),40)</f>
        <v>40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</row>
    <row r="78" spans="1:28" ht="14.25" customHeight="1" x14ac:dyDescent="0.25">
      <c r="A78" s="108" t="str">
        <f ca="1">IFERROR(__xludf.DUMMYFUNCTION("""COMPUTED_VALUE"""),"78K")</f>
        <v>78K</v>
      </c>
      <c r="B78" s="108">
        <f ca="1">IFERROR(__xludf.DUMMYFUNCTION("""COMPUTED_VALUE"""),106)</f>
        <v>106</v>
      </c>
      <c r="C78" s="108">
        <f ca="1">IFERROR(__xludf.DUMMYFUNCTION("""COMPUTED_VALUE"""),44)</f>
        <v>44</v>
      </c>
      <c r="D78" s="160">
        <f ca="1">IFERROR(__xludf.DUMMYFUNCTION("""COMPUTED_VALUE"""),16)</f>
        <v>16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</row>
    <row r="79" spans="1:28" ht="14.25" customHeight="1" x14ac:dyDescent="0.25">
      <c r="A79" s="108" t="str">
        <f ca="1">IFERROR(__xludf.DUMMYFUNCTION("""COMPUTED_VALUE"""),"79P")</f>
        <v>79P</v>
      </c>
      <c r="B79" s="108">
        <f ca="1">IFERROR(__xludf.DUMMYFUNCTION("""COMPUTED_VALUE"""),93)</f>
        <v>93</v>
      </c>
      <c r="C79" s="108">
        <f ca="1">IFERROR(__xludf.DUMMYFUNCTION("""COMPUTED_VALUE"""),5)</f>
        <v>5</v>
      </c>
      <c r="D79" s="160">
        <f ca="1">IFERROR(__xludf.DUMMYFUNCTION("""COMPUTED_VALUE"""),37)</f>
        <v>37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</row>
    <row r="80" spans="1:28" ht="14.25" customHeight="1" x14ac:dyDescent="0.25">
      <c r="A80" s="108" t="str">
        <f ca="1">IFERROR(__xludf.DUMMYFUNCTION("""COMPUTED_VALUE"""),"80P")</f>
        <v>80P</v>
      </c>
      <c r="B80" s="108" t="str">
        <f ca="1">IFERROR(__xludf.DUMMYFUNCTION("""COMPUTED_VALUE"""),"N.A.")</f>
        <v>N.A.</v>
      </c>
      <c r="C80" s="108" t="str">
        <f ca="1">IFERROR(__xludf.DUMMYFUNCTION("""COMPUTED_VALUE"""),"N.A.")</f>
        <v>N.A.</v>
      </c>
      <c r="D80" s="160">
        <f ca="1">IFERROR(__xludf.DUMMYFUNCTION("""COMPUTED_VALUE"""),152)</f>
        <v>152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</row>
    <row r="81" spans="1:28" ht="14.25" customHeight="1" x14ac:dyDescent="0.25">
      <c r="A81" s="108" t="str">
        <f ca="1">IFERROR(__xludf.DUMMYFUNCTION("""COMPUTED_VALUE"""),"82K")</f>
        <v>82K</v>
      </c>
      <c r="B81" s="108" t="str">
        <f ca="1">IFERROR(__xludf.DUMMYFUNCTION("""COMPUTED_VALUE"""),"N.A.")</f>
        <v>N.A.</v>
      </c>
      <c r="C81" s="108">
        <f ca="1">IFERROR(__xludf.DUMMYFUNCTION("""COMPUTED_VALUE"""),0)</f>
        <v>0</v>
      </c>
      <c r="D81" s="160">
        <f ca="1">IFERROR(__xludf.DUMMYFUNCTION("""COMPUTED_VALUE"""),67)</f>
        <v>67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</row>
    <row r="82" spans="1:28" ht="14.25" customHeight="1" x14ac:dyDescent="0.25">
      <c r="A82" s="108" t="str">
        <f ca="1">IFERROR(__xludf.DUMMYFUNCTION("""COMPUTED_VALUE"""),"85P")</f>
        <v>85P</v>
      </c>
      <c r="B82" s="108">
        <f ca="1">IFERROR(__xludf.DUMMYFUNCTION("""COMPUTED_VALUE"""),95)</f>
        <v>95</v>
      </c>
      <c r="C82" s="108">
        <f ca="1">IFERROR(__xludf.DUMMYFUNCTION("""COMPUTED_VALUE"""),2)</f>
        <v>2</v>
      </c>
      <c r="D82" s="160">
        <f ca="1">IFERROR(__xludf.DUMMYFUNCTION("""COMPUTED_VALUE"""),34)</f>
        <v>34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</row>
    <row r="83" spans="1:28" ht="14.25" customHeight="1" x14ac:dyDescent="0.25">
      <c r="A83" s="108" t="str">
        <f ca="1">IFERROR(__xludf.DUMMYFUNCTION("""COMPUTED_VALUE"""),"86K")</f>
        <v>86K</v>
      </c>
      <c r="B83" s="108">
        <f ca="1">IFERROR(__xludf.DUMMYFUNCTION("""COMPUTED_VALUE"""),72)</f>
        <v>72</v>
      </c>
      <c r="C83" s="108">
        <f ca="1">IFERROR(__xludf.DUMMYFUNCTION("""COMPUTED_VALUE"""),0)</f>
        <v>0</v>
      </c>
      <c r="D83" s="160">
        <f ca="1">IFERROR(__xludf.DUMMYFUNCTION("""COMPUTED_VALUE"""),153)</f>
        <v>153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</row>
    <row r="84" spans="1:28" ht="14.25" customHeight="1" x14ac:dyDescent="0.25">
      <c r="A84" s="108" t="str">
        <f ca="1">IFERROR(__xludf.DUMMYFUNCTION("""COMPUTED_VALUE"""),"87P")</f>
        <v>87P</v>
      </c>
      <c r="B84" s="108">
        <f ca="1">IFERROR(__xludf.DUMMYFUNCTION("""COMPUTED_VALUE"""),88)</f>
        <v>88</v>
      </c>
      <c r="C84" s="108">
        <f ca="1">IFERROR(__xludf.DUMMYFUNCTION("""COMPUTED_VALUE"""),8)</f>
        <v>8</v>
      </c>
      <c r="D84" s="160">
        <f ca="1">IFERROR(__xludf.DUMMYFUNCTION("""COMPUTED_VALUE"""),155)</f>
        <v>155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</row>
    <row r="85" spans="1:28" ht="14.25" customHeight="1" x14ac:dyDescent="0.25">
      <c r="A85" s="108" t="str">
        <f ca="1">IFERROR(__xludf.DUMMYFUNCTION("""COMPUTED_VALUE"""),"88K")</f>
        <v>88K</v>
      </c>
      <c r="B85" s="108" t="str">
        <f ca="1">IFERROR(__xludf.DUMMYFUNCTION("""COMPUTED_VALUE"""),"N.A.")</f>
        <v>N.A.</v>
      </c>
      <c r="C85" s="108">
        <f ca="1">IFERROR(__xludf.DUMMYFUNCTION("""COMPUTED_VALUE"""),0)</f>
        <v>0</v>
      </c>
      <c r="D85" s="160">
        <f ca="1">IFERROR(__xludf.DUMMYFUNCTION("""COMPUTED_VALUE"""),10)</f>
        <v>10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</row>
    <row r="86" spans="1:28" ht="14.25" customHeight="1" x14ac:dyDescent="0.25">
      <c r="A86" s="108" t="str">
        <f ca="1">IFERROR(__xludf.DUMMYFUNCTION("""COMPUTED_VALUE"""),"89P")</f>
        <v>89P</v>
      </c>
      <c r="B86" s="108" t="str">
        <f ca="1">IFERROR(__xludf.DUMMYFUNCTION("""COMPUTED_VALUE"""),"N.A.")</f>
        <v>N.A.</v>
      </c>
      <c r="C86" s="108">
        <f ca="1">IFERROR(__xludf.DUMMYFUNCTION("""COMPUTED_VALUE"""),0)</f>
        <v>0</v>
      </c>
      <c r="D86" s="160">
        <f ca="1">IFERROR(__xludf.DUMMYFUNCTION("""COMPUTED_VALUE"""),153)</f>
        <v>153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</row>
    <row r="87" spans="1:28" ht="14.25" customHeight="1" x14ac:dyDescent="0.25">
      <c r="A87" s="108" t="str">
        <f ca="1">IFERROR(__xludf.DUMMYFUNCTION("""COMPUTED_VALUE"""),"91K")</f>
        <v>91K</v>
      </c>
      <c r="B87" s="108">
        <f ca="1">IFERROR(__xludf.DUMMYFUNCTION("""COMPUTED_VALUE"""),100)</f>
        <v>100</v>
      </c>
      <c r="C87" s="108">
        <f ca="1">IFERROR(__xludf.DUMMYFUNCTION("""COMPUTED_VALUE"""),8)</f>
        <v>8</v>
      </c>
      <c r="D87" s="160">
        <f ca="1">IFERROR(__xludf.DUMMYFUNCTION("""COMPUTED_VALUE"""),119)</f>
        <v>119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</row>
    <row r="88" spans="1:28" ht="14.25" customHeight="1" x14ac:dyDescent="0.25">
      <c r="A88" s="108" t="str">
        <f ca="1">IFERROR(__xludf.DUMMYFUNCTION("""COMPUTED_VALUE"""),"92P")</f>
        <v>92P</v>
      </c>
      <c r="B88" s="108" t="str">
        <f ca="1">IFERROR(__xludf.DUMMYFUNCTION("""COMPUTED_VALUE"""),"N.A.")</f>
        <v>N.A.</v>
      </c>
      <c r="C88" s="108" t="str">
        <f ca="1">IFERROR(__xludf.DUMMYFUNCTION("""COMPUTED_VALUE"""),"N.A.")</f>
        <v>N.A.</v>
      </c>
      <c r="D88" s="160">
        <f ca="1">IFERROR(__xludf.DUMMYFUNCTION("""COMPUTED_VALUE"""),73)</f>
        <v>73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</row>
    <row r="89" spans="1:28" ht="14.25" customHeight="1" x14ac:dyDescent="0.25">
      <c r="A89" s="108" t="str">
        <f ca="1">IFERROR(__xludf.DUMMYFUNCTION("""COMPUTED_VALUE"""),"96P")</f>
        <v>96P</v>
      </c>
      <c r="B89" s="108">
        <f ca="1">IFERROR(__xludf.DUMMYFUNCTION("""COMPUTED_VALUE"""),85)</f>
        <v>85</v>
      </c>
      <c r="C89" s="108">
        <f ca="1">IFERROR(__xludf.DUMMYFUNCTION("""COMPUTED_VALUE"""),11)</f>
        <v>11</v>
      </c>
      <c r="D89" s="160">
        <f ca="1">IFERROR(__xludf.DUMMYFUNCTION("""COMPUTED_VALUE"""),27)</f>
        <v>27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</row>
    <row r="90" spans="1:28" ht="14.25" customHeight="1" x14ac:dyDescent="0.25">
      <c r="A90" s="108" t="str">
        <f ca="1">IFERROR(__xludf.DUMMYFUNCTION("""COMPUTED_VALUE"""),"97P")</f>
        <v>97P</v>
      </c>
      <c r="B90" s="108">
        <f ca="1">IFERROR(__xludf.DUMMYFUNCTION("""COMPUTED_VALUE"""),77)</f>
        <v>77</v>
      </c>
      <c r="C90" s="108">
        <f ca="1">IFERROR(__xludf.DUMMYFUNCTION("""COMPUTED_VALUE"""),6)</f>
        <v>6</v>
      </c>
      <c r="D90" s="160">
        <f ca="1">IFERROR(__xludf.DUMMYFUNCTION("""COMPUTED_VALUE"""),136)</f>
        <v>136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</row>
    <row r="91" spans="1:28" ht="14.25" customHeight="1" x14ac:dyDescent="0.25">
      <c r="A91" s="108" t="str">
        <f ca="1">IFERROR(__xludf.DUMMYFUNCTION("""COMPUTED_VALUE"""),"98P")</f>
        <v>98P</v>
      </c>
      <c r="B91" s="108">
        <f ca="1">IFERROR(__xludf.DUMMYFUNCTION("""COMPUTED_VALUE"""),107)</f>
        <v>107</v>
      </c>
      <c r="C91" s="108">
        <f ca="1">IFERROR(__xludf.DUMMYFUNCTION("""COMPUTED_VALUE"""),3)</f>
        <v>3</v>
      </c>
      <c r="D91" s="160">
        <f ca="1">IFERROR(__xludf.DUMMYFUNCTION("""COMPUTED_VALUE"""),20)</f>
        <v>20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</row>
    <row r="92" spans="1:28" ht="14.25" customHeight="1" x14ac:dyDescent="0.25">
      <c r="A92" s="108" t="str">
        <f ca="1">IFERROR(__xludf.DUMMYFUNCTION("""COMPUTED_VALUE"""),"100P")</f>
        <v>100P</v>
      </c>
      <c r="B92" s="108">
        <f ca="1">IFERROR(__xludf.DUMMYFUNCTION("""COMPUTED_VALUE"""),99)</f>
        <v>99</v>
      </c>
      <c r="C92" s="108">
        <f ca="1">IFERROR(__xludf.DUMMYFUNCTION("""COMPUTED_VALUE"""),10)</f>
        <v>10</v>
      </c>
      <c r="D92" s="160">
        <f ca="1">IFERROR(__xludf.DUMMYFUNCTION("""COMPUTED_VALUE"""),35)</f>
        <v>35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</row>
    <row r="93" spans="1:28" ht="14.25" customHeight="1" x14ac:dyDescent="0.25">
      <c r="A93" s="108" t="str">
        <f ca="1">IFERROR(__xludf.DUMMYFUNCTION("""COMPUTED_VALUE"""),"101P")</f>
        <v>101P</v>
      </c>
      <c r="B93" s="108" t="str">
        <f ca="1">IFERROR(__xludf.DUMMYFUNCTION("""COMPUTED_VALUE"""),"N.A.")</f>
        <v>N.A.</v>
      </c>
      <c r="C93" s="108" t="str">
        <f ca="1">IFERROR(__xludf.DUMMYFUNCTION("""COMPUTED_VALUE"""),"N.A.")</f>
        <v>N.A.</v>
      </c>
      <c r="D93" s="160">
        <f ca="1">IFERROR(__xludf.DUMMYFUNCTION("""COMPUTED_VALUE"""),30)</f>
        <v>30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</row>
    <row r="94" spans="1:28" ht="14.25" customHeight="1" x14ac:dyDescent="0.25">
      <c r="A94" s="108" t="str">
        <f ca="1">IFERROR(__xludf.DUMMYFUNCTION("""COMPUTED_VALUE"""),"102P")</f>
        <v>102P</v>
      </c>
      <c r="B94" s="108" t="str">
        <f ca="1">IFERROR(__xludf.DUMMYFUNCTION("""COMPUTED_VALUE"""),"N.A.")</f>
        <v>N.A.</v>
      </c>
      <c r="C94" s="108" t="str">
        <f ca="1">IFERROR(__xludf.DUMMYFUNCTION("""COMPUTED_VALUE"""),"N.A.")</f>
        <v>N.A.</v>
      </c>
      <c r="D94" s="160">
        <f ca="1">IFERROR(__xludf.DUMMYFUNCTION("""COMPUTED_VALUE"""),112)</f>
        <v>112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</row>
    <row r="95" spans="1:28" ht="14.25" customHeight="1" x14ac:dyDescent="0.25">
      <c r="A95" s="108" t="str">
        <f ca="1">IFERROR(__xludf.DUMMYFUNCTION("""COMPUTED_VALUE"""),"103K")</f>
        <v>103K</v>
      </c>
      <c r="B95" s="108">
        <f ca="1">IFERROR(__xludf.DUMMYFUNCTION("""COMPUTED_VALUE"""),52)</f>
        <v>52</v>
      </c>
      <c r="C95" s="108">
        <f ca="1">IFERROR(__xludf.DUMMYFUNCTION("""COMPUTED_VALUE"""),1)</f>
        <v>1</v>
      </c>
      <c r="D95" s="160">
        <f ca="1">IFERROR(__xludf.DUMMYFUNCTION("""COMPUTED_VALUE"""),14)</f>
        <v>14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</row>
    <row r="96" spans="1:28" ht="14.25" customHeight="1" x14ac:dyDescent="0.25">
      <c r="A96" s="108" t="str">
        <f ca="1">IFERROR(__xludf.DUMMYFUNCTION("""COMPUTED_VALUE"""),"104K")</f>
        <v>104K</v>
      </c>
      <c r="B96" s="108" t="str">
        <f ca="1">IFERROR(__xludf.DUMMYFUNCTION("""COMPUTED_VALUE"""),"N.A.")</f>
        <v>N.A.</v>
      </c>
      <c r="C96" s="108" t="str">
        <f ca="1">IFERROR(__xludf.DUMMYFUNCTION("""COMPUTED_VALUE"""),"N.A.")</f>
        <v>N.A.</v>
      </c>
      <c r="D96" s="160">
        <f ca="1">IFERROR(__xludf.DUMMYFUNCTION("""COMPUTED_VALUE"""),77)</f>
        <v>77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</row>
    <row r="97" spans="1:28" ht="14.25" customHeight="1" x14ac:dyDescent="0.25">
      <c r="A97" s="108" t="str">
        <f ca="1">IFERROR(__xludf.DUMMYFUNCTION("""COMPUTED_VALUE"""),"105P")</f>
        <v>105P</v>
      </c>
      <c r="B97" s="108" t="str">
        <f ca="1">IFERROR(__xludf.DUMMYFUNCTION("""COMPUTED_VALUE"""),"N.A.")</f>
        <v>N.A.</v>
      </c>
      <c r="C97" s="108" t="str">
        <f ca="1">IFERROR(__xludf.DUMMYFUNCTION("""COMPUTED_VALUE"""),"N.A.")</f>
        <v>N.A.</v>
      </c>
      <c r="D97" s="160">
        <f ca="1">IFERROR(__xludf.DUMMYFUNCTION("""COMPUTED_VALUE"""),152)</f>
        <v>152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</row>
    <row r="98" spans="1:28" ht="14.25" customHeight="1" x14ac:dyDescent="0.25">
      <c r="A98" s="108" t="str">
        <f ca="1">IFERROR(__xludf.DUMMYFUNCTION("""COMPUTED_VALUE"""),"106K")</f>
        <v>106K</v>
      </c>
      <c r="B98" s="108">
        <f ca="1">IFERROR(__xludf.DUMMYFUNCTION("""COMPUTED_VALUE"""),112)</f>
        <v>112</v>
      </c>
      <c r="C98" s="108">
        <f ca="1">IFERROR(__xludf.DUMMYFUNCTION("""COMPUTED_VALUE"""),3)</f>
        <v>3</v>
      </c>
      <c r="D98" s="160">
        <f ca="1">IFERROR(__xludf.DUMMYFUNCTION("""COMPUTED_VALUE"""),158)</f>
        <v>158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</row>
    <row r="99" spans="1:28" ht="14.25" customHeight="1" x14ac:dyDescent="0.25">
      <c r="A99" s="108" t="str">
        <f ca="1">IFERROR(__xludf.DUMMYFUNCTION("""COMPUTED_VALUE"""),"108K")</f>
        <v>108K</v>
      </c>
      <c r="B99" s="108">
        <f ca="1">IFERROR(__xludf.DUMMYFUNCTION("""COMPUTED_VALUE"""),108)</f>
        <v>108</v>
      </c>
      <c r="C99" s="108">
        <f ca="1">IFERROR(__xludf.DUMMYFUNCTION("""COMPUTED_VALUE"""),40)</f>
        <v>40</v>
      </c>
      <c r="D99" s="160">
        <f ca="1">IFERROR(__xludf.DUMMYFUNCTION("""COMPUTED_VALUE"""),151)</f>
        <v>151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</row>
    <row r="100" spans="1:28" ht="14.25" customHeight="1" x14ac:dyDescent="0.25">
      <c r="A100" s="108" t="str">
        <f ca="1">IFERROR(__xludf.DUMMYFUNCTION("""COMPUTED_VALUE"""),"109K")</f>
        <v>109K</v>
      </c>
      <c r="B100" s="108" t="str">
        <f ca="1">IFERROR(__xludf.DUMMYFUNCTION("""COMPUTED_VALUE"""),"N.A.")</f>
        <v>N.A.</v>
      </c>
      <c r="C100" s="108" t="str">
        <f ca="1">IFERROR(__xludf.DUMMYFUNCTION("""COMPUTED_VALUE"""),"N.A.")</f>
        <v>N.A.</v>
      </c>
      <c r="D100" s="160">
        <f ca="1">IFERROR(__xludf.DUMMYFUNCTION("""COMPUTED_VALUE"""),152)</f>
        <v>152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</row>
    <row r="101" spans="1:28" ht="14.25" customHeight="1" x14ac:dyDescent="0.25">
      <c r="A101" s="108" t="str">
        <f ca="1">IFERROR(__xludf.DUMMYFUNCTION("""COMPUTED_VALUE"""),"111K")</f>
        <v>111K</v>
      </c>
      <c r="B101" s="108">
        <f ca="1">IFERROR(__xludf.DUMMYFUNCTION("""COMPUTED_VALUE"""),45)</f>
        <v>45</v>
      </c>
      <c r="C101" s="108">
        <f ca="1">IFERROR(__xludf.DUMMYFUNCTION("""COMPUTED_VALUE"""),1)</f>
        <v>1</v>
      </c>
      <c r="D101" s="160">
        <f ca="1">IFERROR(__xludf.DUMMYFUNCTION("""COMPUTED_VALUE"""),129)</f>
        <v>129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</row>
    <row r="102" spans="1:28" ht="14.25" customHeight="1" x14ac:dyDescent="0.25">
      <c r="A102" s="108" t="str">
        <f ca="1">IFERROR(__xludf.DUMMYFUNCTION("""COMPUTED_VALUE"""),"113K")</f>
        <v>113K</v>
      </c>
      <c r="B102" s="108" t="str">
        <f ca="1">IFERROR(__xludf.DUMMYFUNCTION("""COMPUTED_VALUE"""),"N.A.")</f>
        <v>N.A.</v>
      </c>
      <c r="C102" s="108" t="str">
        <f ca="1">IFERROR(__xludf.DUMMYFUNCTION("""COMPUTED_VALUE"""),"N.A.")</f>
        <v>N.A.</v>
      </c>
      <c r="D102" s="160">
        <f ca="1">IFERROR(__xludf.DUMMYFUNCTION("""COMPUTED_VALUE"""),114)</f>
        <v>114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</row>
    <row r="103" spans="1:28" ht="14.25" customHeight="1" x14ac:dyDescent="0.25">
      <c r="A103" s="108" t="str">
        <f ca="1">IFERROR(__xludf.DUMMYFUNCTION("""COMPUTED_VALUE"""),"114P")</f>
        <v>114P</v>
      </c>
      <c r="B103" s="108">
        <f ca="1">IFERROR(__xludf.DUMMYFUNCTION("""COMPUTED_VALUE"""),68)</f>
        <v>68</v>
      </c>
      <c r="C103" s="108">
        <f ca="1">IFERROR(__xludf.DUMMYFUNCTION("""COMPUTED_VALUE"""),0)</f>
        <v>0</v>
      </c>
      <c r="D103" s="160">
        <f ca="1">IFERROR(__xludf.DUMMYFUNCTION("""COMPUTED_VALUE"""),14)</f>
        <v>14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</row>
    <row r="104" spans="1:28" ht="14.25" customHeight="1" x14ac:dyDescent="0.25">
      <c r="A104" s="108" t="str">
        <f ca="1">IFERROR(__xludf.DUMMYFUNCTION("""COMPUTED_VALUE"""),"115K")</f>
        <v>115K</v>
      </c>
      <c r="B104" s="108" t="str">
        <f ca="1">IFERROR(__xludf.DUMMYFUNCTION("""COMPUTED_VALUE"""),"N.A.")</f>
        <v>N.A.</v>
      </c>
      <c r="C104" s="108">
        <f ca="1">IFERROR(__xludf.DUMMYFUNCTION("""COMPUTED_VALUE"""),0)</f>
        <v>0</v>
      </c>
      <c r="D104" s="160">
        <f ca="1">IFERROR(__xludf.DUMMYFUNCTION("""COMPUTED_VALUE"""),67)</f>
        <v>67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</row>
    <row r="105" spans="1:28" ht="14.25" customHeight="1" x14ac:dyDescent="0.25">
      <c r="A105" s="108" t="str">
        <f ca="1">IFERROR(__xludf.DUMMYFUNCTION("""COMPUTED_VALUE"""),"120P")</f>
        <v>120P</v>
      </c>
      <c r="B105" s="108">
        <f ca="1">IFERROR(__xludf.DUMMYFUNCTION("""COMPUTED_VALUE"""),92)</f>
        <v>92</v>
      </c>
      <c r="C105" s="108">
        <f ca="1">IFERROR(__xludf.DUMMYFUNCTION("""COMPUTED_VALUE"""),7)</f>
        <v>7</v>
      </c>
      <c r="D105" s="160">
        <f ca="1">IFERROR(__xludf.DUMMYFUNCTION("""COMPUTED_VALUE"""),16)</f>
        <v>16</v>
      </c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</row>
    <row r="106" spans="1:28" ht="14.25" customHeight="1" x14ac:dyDescent="0.25">
      <c r="A106" s="108" t="str">
        <f ca="1">IFERROR(__xludf.DUMMYFUNCTION("""COMPUTED_VALUE"""),"121P")</f>
        <v>121P</v>
      </c>
      <c r="B106" s="108" t="str">
        <f ca="1">IFERROR(__xludf.DUMMYFUNCTION("""COMPUTED_VALUE"""),"N.A.")</f>
        <v>N.A.</v>
      </c>
      <c r="C106" s="108" t="str">
        <f ca="1">IFERROR(__xludf.DUMMYFUNCTION("""COMPUTED_VALUE"""),"N.A.")</f>
        <v>N.A.</v>
      </c>
      <c r="D106" s="160">
        <f ca="1">IFERROR(__xludf.DUMMYFUNCTION("""COMPUTED_VALUE"""),7)</f>
        <v>7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</row>
    <row r="107" spans="1:28" ht="14.25" customHeight="1" x14ac:dyDescent="0.25">
      <c r="A107" s="108" t="str">
        <f ca="1">IFERROR(__xludf.DUMMYFUNCTION("""COMPUTED_VALUE"""),"122K")</f>
        <v>122K</v>
      </c>
      <c r="B107" s="108" t="str">
        <f ca="1">IFERROR(__xludf.DUMMYFUNCTION("""COMPUTED_VALUE"""),"N.A.")</f>
        <v>N.A.</v>
      </c>
      <c r="C107" s="108" t="str">
        <f ca="1">IFERROR(__xludf.DUMMYFUNCTION("""COMPUTED_VALUE"""),"N.A.")</f>
        <v>N.A.</v>
      </c>
      <c r="D107" s="160">
        <f ca="1">IFERROR(__xludf.DUMMYFUNCTION("""COMPUTED_VALUE"""),37)</f>
        <v>37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</row>
    <row r="108" spans="1:28" ht="14.25" customHeight="1" x14ac:dyDescent="0.25">
      <c r="A108" s="108" t="str">
        <f ca="1">IFERROR(__xludf.DUMMYFUNCTION("""COMPUTED_VALUE"""),"123K")</f>
        <v>123K</v>
      </c>
      <c r="B108" s="108">
        <f ca="1">IFERROR(__xludf.DUMMYFUNCTION("""COMPUTED_VALUE"""),82)</f>
        <v>82</v>
      </c>
      <c r="C108" s="108">
        <f ca="1">IFERROR(__xludf.DUMMYFUNCTION("""COMPUTED_VALUE"""),3)</f>
        <v>3</v>
      </c>
      <c r="D108" s="160">
        <f ca="1">IFERROR(__xludf.DUMMYFUNCTION("""COMPUTED_VALUE"""),15)</f>
        <v>15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</row>
    <row r="109" spans="1:28" ht="14.25" customHeight="1" x14ac:dyDescent="0.25">
      <c r="A109" s="108" t="str">
        <f ca="1">IFERROR(__xludf.DUMMYFUNCTION("""COMPUTED_VALUE"""),"124P")</f>
        <v>124P</v>
      </c>
      <c r="B109" s="108" t="str">
        <f ca="1">IFERROR(__xludf.DUMMYFUNCTION("""COMPUTED_VALUE"""),"N.A.")</f>
        <v>N.A.</v>
      </c>
      <c r="C109" s="108" t="str">
        <f ca="1">IFERROR(__xludf.DUMMYFUNCTION("""COMPUTED_VALUE"""),"N.A.")</f>
        <v>N.A.</v>
      </c>
      <c r="D109" s="160">
        <f ca="1">IFERROR(__xludf.DUMMYFUNCTION("""COMPUTED_VALUE"""),45)</f>
        <v>45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</row>
    <row r="110" spans="1:28" ht="14.25" customHeight="1" x14ac:dyDescent="0.25">
      <c r="A110" s="108" t="str">
        <f ca="1">IFERROR(__xludf.DUMMYFUNCTION("""COMPUTED_VALUE"""),"125P")</f>
        <v>125P</v>
      </c>
      <c r="B110" s="108">
        <f ca="1">IFERROR(__xludf.DUMMYFUNCTION("""COMPUTED_VALUE"""),84)</f>
        <v>84</v>
      </c>
      <c r="C110" s="108">
        <f ca="1">IFERROR(__xludf.DUMMYFUNCTION("""COMPUTED_VALUE"""),1)</f>
        <v>1</v>
      </c>
      <c r="D110" s="160">
        <f ca="1">IFERROR(__xludf.DUMMYFUNCTION("""COMPUTED_VALUE"""),10)</f>
        <v>10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</row>
    <row r="111" spans="1:28" ht="14.25" customHeight="1" x14ac:dyDescent="0.25">
      <c r="A111" s="108" t="str">
        <f ca="1">IFERROR(__xludf.DUMMYFUNCTION("""COMPUTED_VALUE"""),"126K")</f>
        <v>126K</v>
      </c>
      <c r="B111" s="108">
        <f ca="1">IFERROR(__xludf.DUMMYFUNCTION("""COMPUTED_VALUE"""),98)</f>
        <v>98</v>
      </c>
      <c r="C111" s="108">
        <f ca="1">IFERROR(__xludf.DUMMYFUNCTION("""COMPUTED_VALUE"""),4)</f>
        <v>4</v>
      </c>
      <c r="D111" s="160">
        <f ca="1">IFERROR(__xludf.DUMMYFUNCTION("""COMPUTED_VALUE"""),138)</f>
        <v>138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</row>
    <row r="112" spans="1:28" ht="14.25" customHeight="1" x14ac:dyDescent="0.25">
      <c r="A112" s="108" t="str">
        <f ca="1">IFERROR(__xludf.DUMMYFUNCTION("""COMPUTED_VALUE"""),"127K")</f>
        <v>127K</v>
      </c>
      <c r="B112" s="108">
        <f ca="1">IFERROR(__xludf.DUMMYFUNCTION("""COMPUTED_VALUE"""),118)</f>
        <v>118</v>
      </c>
      <c r="C112" s="108">
        <f ca="1">IFERROR(__xludf.DUMMYFUNCTION("""COMPUTED_VALUE"""),8)</f>
        <v>8</v>
      </c>
      <c r="D112" s="160">
        <f ca="1">IFERROR(__xludf.DUMMYFUNCTION("""COMPUTED_VALUE"""),37)</f>
        <v>37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</row>
    <row r="113" spans="1:28" ht="14.25" customHeight="1" x14ac:dyDescent="0.25">
      <c r="A113" s="108" t="str">
        <f ca="1">IFERROR(__xludf.DUMMYFUNCTION("""COMPUTED_VALUE"""),"128K")</f>
        <v>128K</v>
      </c>
      <c r="B113" s="108">
        <f ca="1">IFERROR(__xludf.DUMMYFUNCTION("""COMPUTED_VALUE"""),81)</f>
        <v>81</v>
      </c>
      <c r="C113" s="108">
        <f ca="1">IFERROR(__xludf.DUMMYFUNCTION("""COMPUTED_VALUE"""),2)</f>
        <v>2</v>
      </c>
      <c r="D113" s="160">
        <f ca="1">IFERROR(__xludf.DUMMYFUNCTION("""COMPUTED_VALUE"""),26)</f>
        <v>26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</row>
    <row r="114" spans="1:28" ht="14.25" customHeight="1" x14ac:dyDescent="0.25">
      <c r="A114" s="108" t="str">
        <f ca="1">IFERROR(__xludf.DUMMYFUNCTION("""COMPUTED_VALUE"""),"129K")</f>
        <v>129K</v>
      </c>
      <c r="B114" s="108" t="str">
        <f ca="1">IFERROR(__xludf.DUMMYFUNCTION("""COMPUTED_VALUE"""),"N.A.")</f>
        <v>N.A.</v>
      </c>
      <c r="C114" s="108" t="str">
        <f ca="1">IFERROR(__xludf.DUMMYFUNCTION("""COMPUTED_VALUE"""),"N.A.")</f>
        <v>N.A.</v>
      </c>
      <c r="D114" s="160">
        <f ca="1">IFERROR(__xludf.DUMMYFUNCTION("""COMPUTED_VALUE"""),56)</f>
        <v>56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</row>
    <row r="115" spans="1:28" ht="14.25" customHeight="1" x14ac:dyDescent="0.25">
      <c r="A115" s="108" t="str">
        <f ca="1">IFERROR(__xludf.DUMMYFUNCTION("""COMPUTED_VALUE"""),"130P")</f>
        <v>130P</v>
      </c>
      <c r="B115" s="108" t="str">
        <f ca="1">IFERROR(__xludf.DUMMYFUNCTION("""COMPUTED_VALUE"""),"N.A.")</f>
        <v>N.A.</v>
      </c>
      <c r="C115" s="108" t="str">
        <f ca="1">IFERROR(__xludf.DUMMYFUNCTION("""COMPUTED_VALUE"""),"N.A.")</f>
        <v>N.A.</v>
      </c>
      <c r="D115" s="160">
        <f ca="1">IFERROR(__xludf.DUMMYFUNCTION("""COMPUTED_VALUE"""),58)</f>
        <v>58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</row>
    <row r="116" spans="1:28" ht="14.25" customHeight="1" x14ac:dyDescent="0.25">
      <c r="A116" s="108" t="str">
        <f ca="1">IFERROR(__xludf.DUMMYFUNCTION("""COMPUTED_VALUE"""),"131P")</f>
        <v>131P</v>
      </c>
      <c r="B116" s="108" t="str">
        <f ca="1">IFERROR(__xludf.DUMMYFUNCTION("""COMPUTED_VALUE"""),"N.A.")</f>
        <v>N.A.</v>
      </c>
      <c r="C116" s="108" t="str">
        <f ca="1">IFERROR(__xludf.DUMMYFUNCTION("""COMPUTED_VALUE"""),"N.A.")</f>
        <v>N.A.</v>
      </c>
      <c r="D116" s="160">
        <f ca="1">IFERROR(__xludf.DUMMYFUNCTION("""COMPUTED_VALUE"""),127)</f>
        <v>127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</row>
    <row r="117" spans="1:28" ht="14.25" customHeight="1" x14ac:dyDescent="0.25">
      <c r="A117" s="108" t="str">
        <f ca="1">IFERROR(__xludf.DUMMYFUNCTION("""COMPUTED_VALUE"""),"133K")</f>
        <v>133K</v>
      </c>
      <c r="B117" s="108">
        <f ca="1">IFERROR(__xludf.DUMMYFUNCTION("""COMPUTED_VALUE"""),75)</f>
        <v>75</v>
      </c>
      <c r="C117" s="108">
        <f ca="1">IFERROR(__xludf.DUMMYFUNCTION("""COMPUTED_VALUE"""),3)</f>
        <v>3</v>
      </c>
      <c r="D117" s="160">
        <f ca="1">IFERROR(__xludf.DUMMYFUNCTION("""COMPUTED_VALUE"""),125)</f>
        <v>125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</row>
    <row r="118" spans="1:28" ht="14.25" customHeight="1" x14ac:dyDescent="0.25">
      <c r="A118" s="108" t="str">
        <f ca="1">IFERROR(__xludf.DUMMYFUNCTION("""COMPUTED_VALUE"""),"135K")</f>
        <v>135K</v>
      </c>
      <c r="B118" s="108" t="str">
        <f ca="1">IFERROR(__xludf.DUMMYFUNCTION("""COMPUTED_VALUE"""),"N.A.")</f>
        <v>N.A.</v>
      </c>
      <c r="C118" s="108" t="str">
        <f ca="1">IFERROR(__xludf.DUMMYFUNCTION("""COMPUTED_VALUE"""),"N.A.")</f>
        <v>N.A.</v>
      </c>
      <c r="D118" s="160">
        <f ca="1">IFERROR(__xludf.DUMMYFUNCTION("""COMPUTED_VALUE"""),28)</f>
        <v>28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</row>
    <row r="119" spans="1:28" ht="14.25" customHeight="1" x14ac:dyDescent="0.25">
      <c r="A119" s="108" t="str">
        <f ca="1">IFERROR(__xludf.DUMMYFUNCTION("""COMPUTED_VALUE"""),"136K")</f>
        <v>136K</v>
      </c>
      <c r="B119" s="108">
        <f ca="1">IFERROR(__xludf.DUMMYFUNCTION("""COMPUTED_VALUE"""),84)</f>
        <v>84</v>
      </c>
      <c r="C119" s="108">
        <f ca="1">IFERROR(__xludf.DUMMYFUNCTION("""COMPUTED_VALUE"""),1)</f>
        <v>1</v>
      </c>
      <c r="D119" s="160">
        <f ca="1">IFERROR(__xludf.DUMMYFUNCTION("""COMPUTED_VALUE"""),144)</f>
        <v>144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</row>
    <row r="120" spans="1:28" ht="14.25" customHeight="1" x14ac:dyDescent="0.25">
      <c r="A120" s="108" t="str">
        <f ca="1">IFERROR(__xludf.DUMMYFUNCTION("""COMPUTED_VALUE"""),"137K")</f>
        <v>137K</v>
      </c>
      <c r="B120" s="108" t="str">
        <f ca="1">IFERROR(__xludf.DUMMYFUNCTION("""COMPUTED_VALUE"""),"N.A.")</f>
        <v>N.A.</v>
      </c>
      <c r="C120" s="108" t="str">
        <f ca="1">IFERROR(__xludf.DUMMYFUNCTION("""COMPUTED_VALUE"""),"N.A.")</f>
        <v>N.A.</v>
      </c>
      <c r="D120" s="160">
        <f ca="1">IFERROR(__xludf.DUMMYFUNCTION("""COMPUTED_VALUE"""),152)</f>
        <v>152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</row>
    <row r="121" spans="1:28" ht="14.25" customHeight="1" x14ac:dyDescent="0.25">
      <c r="A121" s="108" t="str">
        <f ca="1">IFERROR(__xludf.DUMMYFUNCTION("""COMPUTED_VALUE"""),"140K")</f>
        <v>140K</v>
      </c>
      <c r="B121" s="108">
        <f ca="1">IFERROR(__xludf.DUMMYFUNCTION("""COMPUTED_VALUE"""),69)</f>
        <v>69</v>
      </c>
      <c r="C121" s="108">
        <f ca="1">IFERROR(__xludf.DUMMYFUNCTION("""COMPUTED_VALUE"""),6)</f>
        <v>6</v>
      </c>
      <c r="D121" s="160">
        <f ca="1">IFERROR(__xludf.DUMMYFUNCTION("""COMPUTED_VALUE"""),19)</f>
        <v>19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</row>
    <row r="122" spans="1:28" ht="14.25" customHeight="1" x14ac:dyDescent="0.25">
      <c r="A122" s="108" t="str">
        <f ca="1">IFERROR(__xludf.DUMMYFUNCTION("""COMPUTED_VALUE"""),"141K")</f>
        <v>141K</v>
      </c>
      <c r="B122" s="108" t="str">
        <f ca="1">IFERROR(__xludf.DUMMYFUNCTION("""COMPUTED_VALUE"""),"N.A.")</f>
        <v>N.A.</v>
      </c>
      <c r="C122" s="108">
        <f ca="1">IFERROR(__xludf.DUMMYFUNCTION("""COMPUTED_VALUE"""),0)</f>
        <v>0</v>
      </c>
      <c r="D122" s="160">
        <f ca="1">IFERROR(__xludf.DUMMYFUNCTION("""COMPUTED_VALUE"""),28)</f>
        <v>28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</row>
    <row r="123" spans="1:28" ht="14.25" customHeight="1" x14ac:dyDescent="0.25">
      <c r="A123" s="108" t="str">
        <f ca="1">IFERROR(__xludf.DUMMYFUNCTION("""COMPUTED_VALUE"""),"142P")</f>
        <v>142P</v>
      </c>
      <c r="B123" s="108">
        <f ca="1">IFERROR(__xludf.DUMMYFUNCTION("""COMPUTED_VALUE"""),15)</f>
        <v>15</v>
      </c>
      <c r="C123" s="108">
        <f ca="1">IFERROR(__xludf.DUMMYFUNCTION("""COMPUTED_VALUE"""),10)</f>
        <v>10</v>
      </c>
      <c r="D123" s="160">
        <f ca="1">IFERROR(__xludf.DUMMYFUNCTION("""COMPUTED_VALUE"""),154)</f>
        <v>154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</row>
    <row r="124" spans="1:28" ht="14.25" customHeight="1" x14ac:dyDescent="0.25">
      <c r="A124" s="108" t="str">
        <f ca="1">IFERROR(__xludf.DUMMYFUNCTION("""COMPUTED_VALUE"""),"143P")</f>
        <v>143P</v>
      </c>
      <c r="B124" s="108">
        <f ca="1">IFERROR(__xludf.DUMMYFUNCTION("""COMPUTED_VALUE"""),82)</f>
        <v>82</v>
      </c>
      <c r="C124" s="108">
        <f ca="1">IFERROR(__xludf.DUMMYFUNCTION("""COMPUTED_VALUE"""),10)</f>
        <v>10</v>
      </c>
      <c r="D124" s="160">
        <f ca="1">IFERROR(__xludf.DUMMYFUNCTION("""COMPUTED_VALUE"""),154)</f>
        <v>154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</row>
    <row r="125" spans="1:28" ht="14.25" customHeight="1" x14ac:dyDescent="0.25">
      <c r="A125" s="108" t="str">
        <f ca="1">IFERROR(__xludf.DUMMYFUNCTION("""COMPUTED_VALUE"""),"144P")</f>
        <v>144P</v>
      </c>
      <c r="B125" s="108">
        <f ca="1">IFERROR(__xludf.DUMMYFUNCTION("""COMPUTED_VALUE"""),102)</f>
        <v>102</v>
      </c>
      <c r="C125" s="108">
        <f ca="1">IFERROR(__xludf.DUMMYFUNCTION("""COMPUTED_VALUE"""),7)</f>
        <v>7</v>
      </c>
      <c r="D125" s="160">
        <f ca="1">IFERROR(__xludf.DUMMYFUNCTION("""COMPUTED_VALUE"""),149)</f>
        <v>149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</row>
    <row r="126" spans="1:28" ht="14.25" customHeight="1" x14ac:dyDescent="0.25">
      <c r="A126" s="108" t="str">
        <f ca="1">IFERROR(__xludf.DUMMYFUNCTION("""COMPUTED_VALUE"""),"145K")</f>
        <v>145K</v>
      </c>
      <c r="B126" s="108">
        <f ca="1">IFERROR(__xludf.DUMMYFUNCTION("""COMPUTED_VALUE"""),100)</f>
        <v>100</v>
      </c>
      <c r="C126" s="108">
        <f ca="1">IFERROR(__xludf.DUMMYFUNCTION("""COMPUTED_VALUE"""),5)</f>
        <v>5</v>
      </c>
      <c r="D126" s="160">
        <f ca="1">IFERROR(__xludf.DUMMYFUNCTION("""COMPUTED_VALUE"""),52)</f>
        <v>52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</row>
    <row r="127" spans="1:28" ht="14.25" customHeight="1" x14ac:dyDescent="0.25">
      <c r="A127" s="108" t="str">
        <f ca="1">IFERROR(__xludf.DUMMYFUNCTION("""COMPUTED_VALUE"""),"146K")</f>
        <v>146K</v>
      </c>
      <c r="B127" s="108">
        <f ca="1">IFERROR(__xludf.DUMMYFUNCTION("""COMPUTED_VALUE"""),18)</f>
        <v>18</v>
      </c>
      <c r="C127" s="108">
        <f ca="1">IFERROR(__xludf.DUMMYFUNCTION("""COMPUTED_VALUE"""),0)</f>
        <v>0</v>
      </c>
      <c r="D127" s="160">
        <f ca="1">IFERROR(__xludf.DUMMYFUNCTION("""COMPUTED_VALUE"""),46)</f>
        <v>46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</row>
    <row r="128" spans="1:28" ht="14.25" customHeight="1" x14ac:dyDescent="0.25">
      <c r="A128" s="108" t="str">
        <f ca="1">IFERROR(__xludf.DUMMYFUNCTION("""COMPUTED_VALUE"""),"147K")</f>
        <v>147K</v>
      </c>
      <c r="B128" s="108" t="str">
        <f ca="1">IFERROR(__xludf.DUMMYFUNCTION("""COMPUTED_VALUE"""),"N.A.")</f>
        <v>N.A.</v>
      </c>
      <c r="C128" s="108">
        <f ca="1">IFERROR(__xludf.DUMMYFUNCTION("""COMPUTED_VALUE"""),0)</f>
        <v>0</v>
      </c>
      <c r="D128" s="160">
        <f ca="1">IFERROR(__xludf.DUMMYFUNCTION("""COMPUTED_VALUE"""),18)</f>
        <v>18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</row>
    <row r="129" spans="1:28" ht="14.25" customHeight="1" x14ac:dyDescent="0.25">
      <c r="A129" s="108" t="str">
        <f ca="1">IFERROR(__xludf.DUMMYFUNCTION("""COMPUTED_VALUE"""),"149P")</f>
        <v>149P</v>
      </c>
      <c r="B129" s="108">
        <f ca="1">IFERROR(__xludf.DUMMYFUNCTION("""COMPUTED_VALUE"""),92)</f>
        <v>92</v>
      </c>
      <c r="C129" s="108">
        <f ca="1">IFERROR(__xludf.DUMMYFUNCTION("""COMPUTED_VALUE"""),2)</f>
        <v>2</v>
      </c>
      <c r="D129" s="160">
        <f ca="1">IFERROR(__xludf.DUMMYFUNCTION("""COMPUTED_VALUE"""),16)</f>
        <v>16</v>
      </c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</row>
    <row r="130" spans="1:28" ht="14.25" customHeight="1" x14ac:dyDescent="0.25">
      <c r="A130" s="108" t="str">
        <f ca="1">IFERROR(__xludf.DUMMYFUNCTION("""COMPUTED_VALUE"""),"150K")</f>
        <v>150K</v>
      </c>
      <c r="B130" s="108" t="str">
        <f ca="1">IFERROR(__xludf.DUMMYFUNCTION("""COMPUTED_VALUE"""),"N.A.")</f>
        <v>N.A.</v>
      </c>
      <c r="C130" s="108" t="str">
        <f ca="1">IFERROR(__xludf.DUMMYFUNCTION("""COMPUTED_VALUE"""),"N.A.")</f>
        <v>N.A.</v>
      </c>
      <c r="D130" s="160">
        <f ca="1">IFERROR(__xludf.DUMMYFUNCTION("""COMPUTED_VALUE"""),18)</f>
        <v>18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</row>
    <row r="131" spans="1:28" ht="14.25" customHeight="1" x14ac:dyDescent="0.25">
      <c r="A131" s="108" t="str">
        <f ca="1">IFERROR(__xludf.DUMMYFUNCTION("""COMPUTED_VALUE"""),"151P")</f>
        <v>151P</v>
      </c>
      <c r="B131" s="108">
        <f ca="1">IFERROR(__xludf.DUMMYFUNCTION("""COMPUTED_VALUE"""),92)</f>
        <v>92</v>
      </c>
      <c r="C131" s="108">
        <f ca="1">IFERROR(__xludf.DUMMYFUNCTION("""COMPUTED_VALUE"""),38)</f>
        <v>38</v>
      </c>
      <c r="D131" s="160">
        <f ca="1">IFERROR(__xludf.DUMMYFUNCTION("""COMPUTED_VALUE"""),149)</f>
        <v>149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</row>
    <row r="132" spans="1:28" ht="14.25" customHeight="1" x14ac:dyDescent="0.25">
      <c r="A132" s="108" t="str">
        <f ca="1">IFERROR(__xludf.DUMMYFUNCTION("""COMPUTED_VALUE"""),"152P")</f>
        <v>152P</v>
      </c>
      <c r="B132" s="108">
        <f ca="1">IFERROR(__xludf.DUMMYFUNCTION("""COMPUTED_VALUE"""),67)</f>
        <v>67</v>
      </c>
      <c r="C132" s="108">
        <f ca="1">IFERROR(__xludf.DUMMYFUNCTION("""COMPUTED_VALUE"""),1)</f>
        <v>1</v>
      </c>
      <c r="D132" s="160">
        <f ca="1">IFERROR(__xludf.DUMMYFUNCTION("""COMPUTED_VALUE"""),152)</f>
        <v>152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</row>
    <row r="133" spans="1:28" ht="14.25" customHeight="1" x14ac:dyDescent="0.25">
      <c r="A133" s="108" t="str">
        <f ca="1">IFERROR(__xludf.DUMMYFUNCTION("""COMPUTED_VALUE"""),"153K")</f>
        <v>153K</v>
      </c>
      <c r="B133" s="108" t="str">
        <f ca="1">IFERROR(__xludf.DUMMYFUNCTION("""COMPUTED_VALUE"""),"N.A.")</f>
        <v>N.A.</v>
      </c>
      <c r="C133" s="108" t="str">
        <f ca="1">IFERROR(__xludf.DUMMYFUNCTION("""COMPUTED_VALUE"""),"N.A.")</f>
        <v>N.A.</v>
      </c>
      <c r="D133" s="160">
        <f ca="1">IFERROR(__xludf.DUMMYFUNCTION("""COMPUTED_VALUE"""),84)</f>
        <v>84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</row>
    <row r="134" spans="1:28" ht="14.25" customHeight="1" x14ac:dyDescent="0.25">
      <c r="A134" s="108" t="str">
        <f ca="1">IFERROR(__xludf.DUMMYFUNCTION("""COMPUTED_VALUE"""),"154K")</f>
        <v>154K</v>
      </c>
      <c r="B134" s="108">
        <f ca="1">IFERROR(__xludf.DUMMYFUNCTION("""COMPUTED_VALUE"""),92)</f>
        <v>92</v>
      </c>
      <c r="C134" s="108">
        <f ca="1">IFERROR(__xludf.DUMMYFUNCTION("""COMPUTED_VALUE"""),0)</f>
        <v>0</v>
      </c>
      <c r="D134" s="160">
        <f ca="1">IFERROR(__xludf.DUMMYFUNCTION("""COMPUTED_VALUE"""),16)</f>
        <v>16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</row>
    <row r="135" spans="1:28" ht="14.25" customHeight="1" x14ac:dyDescent="0.25">
      <c r="A135" s="108" t="str">
        <f ca="1">IFERROR(__xludf.DUMMYFUNCTION("""COMPUTED_VALUE"""),"155P")</f>
        <v>155P</v>
      </c>
      <c r="B135" s="108">
        <f ca="1">IFERROR(__xludf.DUMMYFUNCTION("""COMPUTED_VALUE"""),91)</f>
        <v>91</v>
      </c>
      <c r="C135" s="108">
        <f ca="1">IFERROR(__xludf.DUMMYFUNCTION("""COMPUTED_VALUE"""),1)</f>
        <v>1</v>
      </c>
      <c r="D135" s="160">
        <f ca="1">IFERROR(__xludf.DUMMYFUNCTION("""COMPUTED_VALUE"""),42)</f>
        <v>42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</row>
    <row r="136" spans="1:28" ht="14.25" customHeight="1" x14ac:dyDescent="0.25">
      <c r="A136" s="108" t="str">
        <f ca="1">IFERROR(__xludf.DUMMYFUNCTION("""COMPUTED_VALUE"""),"156K")</f>
        <v>156K</v>
      </c>
      <c r="B136" s="108">
        <f ca="1">IFERROR(__xludf.DUMMYFUNCTION("""COMPUTED_VALUE"""),53)</f>
        <v>53</v>
      </c>
      <c r="C136" s="108">
        <f ca="1">IFERROR(__xludf.DUMMYFUNCTION("""COMPUTED_VALUE"""),2)</f>
        <v>2</v>
      </c>
      <c r="D136" s="160">
        <f ca="1">IFERROR(__xludf.DUMMYFUNCTION("""COMPUTED_VALUE"""),106)</f>
        <v>106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</row>
    <row r="137" spans="1:28" ht="14.25" customHeight="1" x14ac:dyDescent="0.25">
      <c r="A137" s="108" t="str">
        <f ca="1">IFERROR(__xludf.DUMMYFUNCTION("""COMPUTED_VALUE"""),"157P")</f>
        <v>157P</v>
      </c>
      <c r="B137" s="108">
        <f ca="1">IFERROR(__xludf.DUMMYFUNCTION("""COMPUTED_VALUE"""),79)</f>
        <v>79</v>
      </c>
      <c r="C137" s="108">
        <f ca="1">IFERROR(__xludf.DUMMYFUNCTION("""COMPUTED_VALUE"""),0)</f>
        <v>0</v>
      </c>
      <c r="D137" s="160">
        <f ca="1">IFERROR(__xludf.DUMMYFUNCTION("""COMPUTED_VALUE"""),148)</f>
        <v>148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</row>
    <row r="138" spans="1:28" ht="14.25" customHeight="1" x14ac:dyDescent="0.25">
      <c r="A138" s="108" t="str">
        <f ca="1">IFERROR(__xludf.DUMMYFUNCTION("""COMPUTED_VALUE"""),"158K")</f>
        <v>158K</v>
      </c>
      <c r="B138" s="108" t="str">
        <f ca="1">IFERROR(__xludf.DUMMYFUNCTION("""COMPUTED_VALUE"""),"N.A.")</f>
        <v>N.A.</v>
      </c>
      <c r="C138" s="108">
        <f ca="1">IFERROR(__xludf.DUMMYFUNCTION("""COMPUTED_VALUE"""),0)</f>
        <v>0</v>
      </c>
      <c r="D138" s="160">
        <f ca="1">IFERROR(__xludf.DUMMYFUNCTION("""COMPUTED_VALUE"""),28)</f>
        <v>28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</row>
    <row r="139" spans="1:28" ht="14.25" customHeight="1" x14ac:dyDescent="0.25">
      <c r="A139" s="108" t="str">
        <f ca="1">IFERROR(__xludf.DUMMYFUNCTION("""COMPUTED_VALUE"""),"159P")</f>
        <v>159P</v>
      </c>
      <c r="B139" s="108" t="str">
        <f ca="1">IFERROR(__xludf.DUMMYFUNCTION("""COMPUTED_VALUE"""),"N.A.")</f>
        <v>N.A.</v>
      </c>
      <c r="C139" s="108">
        <f ca="1">IFERROR(__xludf.DUMMYFUNCTION("""COMPUTED_VALUE"""),0)</f>
        <v>0</v>
      </c>
      <c r="D139" s="160">
        <f ca="1">IFERROR(__xludf.DUMMYFUNCTION("""COMPUTED_VALUE"""),16)</f>
        <v>16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</row>
    <row r="140" spans="1:28" ht="14.25" customHeight="1" x14ac:dyDescent="0.25">
      <c r="A140" s="108" t="str">
        <f ca="1">IFERROR(__xludf.DUMMYFUNCTION("""COMPUTED_VALUE"""),"162P")</f>
        <v>162P</v>
      </c>
      <c r="B140" s="108" t="str">
        <f ca="1">IFERROR(__xludf.DUMMYFUNCTION("""COMPUTED_VALUE"""),"N.A.")</f>
        <v>N.A.</v>
      </c>
      <c r="C140" s="108">
        <f ca="1">IFERROR(__xludf.DUMMYFUNCTION("""COMPUTED_VALUE"""),0)</f>
        <v>0</v>
      </c>
      <c r="D140" s="160">
        <f ca="1">IFERROR(__xludf.DUMMYFUNCTION("""COMPUTED_VALUE"""),106)</f>
        <v>106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</row>
    <row r="141" spans="1:28" ht="14.25" customHeight="1" x14ac:dyDescent="0.25">
      <c r="A141" s="108" t="str">
        <f ca="1">IFERROR(__xludf.DUMMYFUNCTION("""COMPUTED_VALUE"""),"164K")</f>
        <v>164K</v>
      </c>
      <c r="B141" s="108" t="str">
        <f ca="1">IFERROR(__xludf.DUMMYFUNCTION("""COMPUTED_VALUE"""),"N.A.")</f>
        <v>N.A.</v>
      </c>
      <c r="C141" s="108">
        <f ca="1">IFERROR(__xludf.DUMMYFUNCTION("""COMPUTED_VALUE"""),0)</f>
        <v>0</v>
      </c>
      <c r="D141" s="160">
        <f ca="1">IFERROR(__xludf.DUMMYFUNCTION("""COMPUTED_VALUE"""),112)</f>
        <v>112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</row>
    <row r="142" spans="1:28" ht="14.25" customHeight="1" x14ac:dyDescent="0.25">
      <c r="A142" s="108" t="str">
        <f ca="1">IFERROR(__xludf.DUMMYFUNCTION("""COMPUTED_VALUE"""),"165K")</f>
        <v>165K</v>
      </c>
      <c r="B142" s="108">
        <f ca="1">IFERROR(__xludf.DUMMYFUNCTION("""COMPUTED_VALUE"""),98)</f>
        <v>98</v>
      </c>
      <c r="C142" s="108">
        <f ca="1">IFERROR(__xludf.DUMMYFUNCTION("""COMPUTED_VALUE"""),2)</f>
        <v>2</v>
      </c>
      <c r="D142" s="160">
        <f ca="1">IFERROR(__xludf.DUMMYFUNCTION("""COMPUTED_VALUE"""),103)</f>
        <v>103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</row>
    <row r="143" spans="1:28" ht="14.25" customHeight="1" x14ac:dyDescent="0.25">
      <c r="A143" s="108" t="str">
        <f ca="1">IFERROR(__xludf.DUMMYFUNCTION("""COMPUTED_VALUE"""),"167K")</f>
        <v>167K</v>
      </c>
      <c r="B143" s="108">
        <f ca="1">IFERROR(__xludf.DUMMYFUNCTION("""COMPUTED_VALUE"""),97)</f>
        <v>97</v>
      </c>
      <c r="C143" s="108">
        <f ca="1">IFERROR(__xludf.DUMMYFUNCTION("""COMPUTED_VALUE"""),12)</f>
        <v>12</v>
      </c>
      <c r="D143" s="160">
        <f ca="1">IFERROR(__xludf.DUMMYFUNCTION("""COMPUTED_VALUE"""),33)</f>
        <v>33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</row>
    <row r="144" spans="1:28" ht="14.25" customHeight="1" x14ac:dyDescent="0.25">
      <c r="A144" s="108" t="str">
        <f ca="1">IFERROR(__xludf.DUMMYFUNCTION("""COMPUTED_VALUE"""),"169P")</f>
        <v>169P</v>
      </c>
      <c r="B144" s="108">
        <f ca="1">IFERROR(__xludf.DUMMYFUNCTION("""COMPUTED_VALUE"""),79)</f>
        <v>79</v>
      </c>
      <c r="C144" s="108">
        <f ca="1">IFERROR(__xludf.DUMMYFUNCTION("""COMPUTED_VALUE"""),2)</f>
        <v>2</v>
      </c>
      <c r="D144" s="160">
        <f ca="1">IFERROR(__xludf.DUMMYFUNCTION("""COMPUTED_VALUE"""),54)</f>
        <v>54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</row>
    <row r="145" spans="1:28" ht="14.25" customHeight="1" x14ac:dyDescent="0.25">
      <c r="A145" s="108" t="str">
        <f ca="1">IFERROR(__xludf.DUMMYFUNCTION("""COMPUTED_VALUE"""),"170K")</f>
        <v>170K</v>
      </c>
      <c r="B145" s="108">
        <f ca="1">IFERROR(__xludf.DUMMYFUNCTION("""COMPUTED_VALUE"""),72)</f>
        <v>72</v>
      </c>
      <c r="C145" s="108">
        <f ca="1">IFERROR(__xludf.DUMMYFUNCTION("""COMPUTED_VALUE"""),4)</f>
        <v>4</v>
      </c>
      <c r="D145" s="160">
        <f ca="1">IFERROR(__xludf.DUMMYFUNCTION("""COMPUTED_VALUE"""),114)</f>
        <v>114</v>
      </c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</row>
    <row r="146" spans="1:28" ht="14.25" customHeight="1" x14ac:dyDescent="0.25">
      <c r="A146" s="108" t="str">
        <f ca="1">IFERROR(__xludf.DUMMYFUNCTION("""COMPUTED_VALUE"""),"173P")</f>
        <v>173P</v>
      </c>
      <c r="B146" s="108">
        <f ca="1">IFERROR(__xludf.DUMMYFUNCTION("""COMPUTED_VALUE"""),77)</f>
        <v>77</v>
      </c>
      <c r="C146" s="108">
        <f ca="1">IFERROR(__xludf.DUMMYFUNCTION("""COMPUTED_VALUE"""),4)</f>
        <v>4</v>
      </c>
      <c r="D146" s="160">
        <f ca="1">IFERROR(__xludf.DUMMYFUNCTION("""COMPUTED_VALUE"""),126)</f>
        <v>126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</row>
    <row r="147" spans="1:28" ht="14.25" customHeight="1" x14ac:dyDescent="0.25">
      <c r="A147" s="108" t="str">
        <f ca="1">IFERROR(__xludf.DUMMYFUNCTION("""COMPUTED_VALUE"""),"174P")</f>
        <v>174P</v>
      </c>
      <c r="B147" s="108">
        <f ca="1">IFERROR(__xludf.DUMMYFUNCTION("""COMPUTED_VALUE"""),84)</f>
        <v>84</v>
      </c>
      <c r="C147" s="108">
        <f ca="1">IFERROR(__xludf.DUMMYFUNCTION("""COMPUTED_VALUE"""),3)</f>
        <v>3</v>
      </c>
      <c r="D147" s="160">
        <f ca="1">IFERROR(__xludf.DUMMYFUNCTION("""COMPUTED_VALUE"""),104)</f>
        <v>104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</row>
    <row r="148" spans="1:28" ht="14.25" customHeight="1" x14ac:dyDescent="0.25">
      <c r="A148" s="108" t="str">
        <f ca="1">IFERROR(__xludf.DUMMYFUNCTION("""COMPUTED_VALUE"""),"175K")</f>
        <v>175K</v>
      </c>
      <c r="B148" s="108" t="str">
        <f ca="1">IFERROR(__xludf.DUMMYFUNCTION("""COMPUTED_VALUE"""),"N.A.")</f>
        <v>N.A.</v>
      </c>
      <c r="C148" s="108" t="str">
        <f ca="1">IFERROR(__xludf.DUMMYFUNCTION("""COMPUTED_VALUE"""),"N.A.")</f>
        <v>N.A.</v>
      </c>
      <c r="D148" s="160">
        <f ca="1">IFERROR(__xludf.DUMMYFUNCTION("""COMPUTED_VALUE"""),153)</f>
        <v>153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</row>
    <row r="149" spans="1:28" ht="14.25" customHeight="1" x14ac:dyDescent="0.25">
      <c r="A149" s="108" t="str">
        <f ca="1">IFERROR(__xludf.DUMMYFUNCTION("""COMPUTED_VALUE"""),"176K")</f>
        <v>176K</v>
      </c>
      <c r="B149" s="108" t="str">
        <f ca="1">IFERROR(__xludf.DUMMYFUNCTION("""COMPUTED_VALUE"""),"N.A.")</f>
        <v>N.A.</v>
      </c>
      <c r="C149" s="108" t="str">
        <f ca="1">IFERROR(__xludf.DUMMYFUNCTION("""COMPUTED_VALUE"""),"N.A.")</f>
        <v>N.A.</v>
      </c>
      <c r="D149" s="160">
        <f ca="1">IFERROR(__xludf.DUMMYFUNCTION("""COMPUTED_VALUE"""),126)</f>
        <v>126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</row>
    <row r="150" spans="1:28" ht="14.25" customHeight="1" x14ac:dyDescent="0.25">
      <c r="A150" s="108" t="str">
        <f ca="1">IFERROR(__xludf.DUMMYFUNCTION("""COMPUTED_VALUE"""),"177P")</f>
        <v>177P</v>
      </c>
      <c r="B150" s="108">
        <f ca="1">IFERROR(__xludf.DUMMYFUNCTION("""COMPUTED_VALUE"""),90)</f>
        <v>90</v>
      </c>
      <c r="C150" s="108">
        <f ca="1">IFERROR(__xludf.DUMMYFUNCTION("""COMPUTED_VALUE"""),16)</f>
        <v>16</v>
      </c>
      <c r="D150" s="160">
        <f ca="1">IFERROR(__xludf.DUMMYFUNCTION("""COMPUTED_VALUE"""),45)</f>
        <v>45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</row>
    <row r="151" spans="1:28" ht="14.25" customHeight="1" x14ac:dyDescent="0.25">
      <c r="A151" s="108" t="str">
        <f ca="1">IFERROR(__xludf.DUMMYFUNCTION("""COMPUTED_VALUE"""),"178K")</f>
        <v>178K</v>
      </c>
      <c r="B151" s="108">
        <f ca="1">IFERROR(__xludf.DUMMYFUNCTION("""COMPUTED_VALUE"""),92)</f>
        <v>92</v>
      </c>
      <c r="C151" s="108">
        <f ca="1">IFERROR(__xludf.DUMMYFUNCTION("""COMPUTED_VALUE"""),5)</f>
        <v>5</v>
      </c>
      <c r="D151" s="160">
        <f ca="1">IFERROR(__xludf.DUMMYFUNCTION("""COMPUTED_VALUE"""),27)</f>
        <v>27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</row>
    <row r="152" spans="1:28" ht="14.25" customHeight="1" x14ac:dyDescent="0.25">
      <c r="A152" s="108" t="str">
        <f ca="1">IFERROR(__xludf.DUMMYFUNCTION("""COMPUTED_VALUE"""),"179P")</f>
        <v>179P</v>
      </c>
      <c r="B152" s="108" t="str">
        <f ca="1">IFERROR(__xludf.DUMMYFUNCTION("""COMPUTED_VALUE"""),"N.A.")</f>
        <v>N.A.</v>
      </c>
      <c r="C152" s="108" t="str">
        <f ca="1">IFERROR(__xludf.DUMMYFUNCTION("""COMPUTED_VALUE"""),"N.A.")</f>
        <v>N.A.</v>
      </c>
      <c r="D152" s="160">
        <f ca="1">IFERROR(__xludf.DUMMYFUNCTION("""COMPUTED_VALUE"""),16)</f>
        <v>16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</row>
    <row r="153" spans="1:28" ht="14.25" customHeight="1" x14ac:dyDescent="0.25">
      <c r="A153" s="108" t="str">
        <f ca="1">IFERROR(__xludf.DUMMYFUNCTION("""COMPUTED_VALUE"""),"180P")</f>
        <v>180P</v>
      </c>
      <c r="B153" s="108" t="str">
        <f ca="1">IFERROR(__xludf.DUMMYFUNCTION("""COMPUTED_VALUE"""),"N.A.")</f>
        <v>N.A.</v>
      </c>
      <c r="C153" s="108" t="str">
        <f ca="1">IFERROR(__xludf.DUMMYFUNCTION("""COMPUTED_VALUE"""),"N.A.")</f>
        <v>N.A.</v>
      </c>
      <c r="D153" s="160">
        <f ca="1">IFERROR(__xludf.DUMMYFUNCTION("""COMPUTED_VALUE"""),46)</f>
        <v>46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</row>
    <row r="154" spans="1:28" ht="14.25" customHeight="1" x14ac:dyDescent="0.25">
      <c r="A154" s="108" t="str">
        <f ca="1">IFERROR(__xludf.DUMMYFUNCTION("""COMPUTED_VALUE"""),"182K")</f>
        <v>182K</v>
      </c>
      <c r="B154" s="108">
        <f ca="1">IFERROR(__xludf.DUMMYFUNCTION("""COMPUTED_VALUE"""),50)</f>
        <v>50</v>
      </c>
      <c r="C154" s="108">
        <f ca="1">IFERROR(__xludf.DUMMYFUNCTION("""COMPUTED_VALUE"""),1)</f>
        <v>1</v>
      </c>
      <c r="D154" s="160">
        <f ca="1">IFERROR(__xludf.DUMMYFUNCTION("""COMPUTED_VALUE"""),139)</f>
        <v>139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</row>
    <row r="155" spans="1:28" ht="14.25" customHeight="1" x14ac:dyDescent="0.25">
      <c r="A155" s="108" t="str">
        <f ca="1">IFERROR(__xludf.DUMMYFUNCTION("""COMPUTED_VALUE"""),"183K")</f>
        <v>183K</v>
      </c>
      <c r="B155" s="108">
        <f ca="1">IFERROR(__xludf.DUMMYFUNCTION("""COMPUTED_VALUE"""),62)</f>
        <v>62</v>
      </c>
      <c r="C155" s="108">
        <f ca="1">IFERROR(__xludf.DUMMYFUNCTION("""COMPUTED_VALUE"""),15)</f>
        <v>15</v>
      </c>
      <c r="D155" s="160">
        <f ca="1">IFERROR(__xludf.DUMMYFUNCTION("""COMPUTED_VALUE"""),6)</f>
        <v>6</v>
      </c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</row>
    <row r="156" spans="1:28" ht="14.25" customHeight="1" x14ac:dyDescent="0.25">
      <c r="A156" s="108" t="str">
        <f ca="1">IFERROR(__xludf.DUMMYFUNCTION("""COMPUTED_VALUE"""),"184P")</f>
        <v>184P</v>
      </c>
      <c r="B156" s="108">
        <f ca="1">IFERROR(__xludf.DUMMYFUNCTION("""COMPUTED_VALUE"""),75)</f>
        <v>75</v>
      </c>
      <c r="C156" s="108">
        <f ca="1">IFERROR(__xludf.DUMMYFUNCTION("""COMPUTED_VALUE"""),0)</f>
        <v>0</v>
      </c>
      <c r="D156" s="160">
        <f ca="1">IFERROR(__xludf.DUMMYFUNCTION("""COMPUTED_VALUE"""),15)</f>
        <v>15</v>
      </c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</row>
    <row r="157" spans="1:28" ht="14.25" customHeight="1" x14ac:dyDescent="0.25">
      <c r="A157" s="108" t="str">
        <f ca="1">IFERROR(__xludf.DUMMYFUNCTION("""COMPUTED_VALUE"""),"185P")</f>
        <v>185P</v>
      </c>
      <c r="B157" s="108" t="str">
        <f ca="1">IFERROR(__xludf.DUMMYFUNCTION("""COMPUTED_VALUE"""),"N.A.")</f>
        <v>N.A.</v>
      </c>
      <c r="C157" s="108" t="str">
        <f ca="1">IFERROR(__xludf.DUMMYFUNCTION("""COMPUTED_VALUE"""),"N.A.")</f>
        <v>N.A.</v>
      </c>
      <c r="D157" s="160">
        <f ca="1">IFERROR(__xludf.DUMMYFUNCTION("""COMPUTED_VALUE"""),46)</f>
        <v>46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</row>
    <row r="158" spans="1:28" ht="14.25" customHeight="1" x14ac:dyDescent="0.25">
      <c r="A158" s="108" t="str">
        <f ca="1">IFERROR(__xludf.DUMMYFUNCTION("""COMPUTED_VALUE"""),"187K")</f>
        <v>187K</v>
      </c>
      <c r="B158" s="108">
        <f ca="1">IFERROR(__xludf.DUMMYFUNCTION("""COMPUTED_VALUE"""),115)</f>
        <v>115</v>
      </c>
      <c r="C158" s="108">
        <f ca="1">IFERROR(__xludf.DUMMYFUNCTION("""COMPUTED_VALUE"""),6)</f>
        <v>6</v>
      </c>
      <c r="D158" s="160">
        <f ca="1">IFERROR(__xludf.DUMMYFUNCTION("""COMPUTED_VALUE"""),147)</f>
        <v>147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</row>
    <row r="159" spans="1:28" ht="14.25" customHeight="1" x14ac:dyDescent="0.25">
      <c r="A159" s="108" t="str">
        <f ca="1">IFERROR(__xludf.DUMMYFUNCTION("""COMPUTED_VALUE"""),"188K")</f>
        <v>188K</v>
      </c>
      <c r="B159" s="108">
        <f ca="1">IFERROR(__xludf.DUMMYFUNCTION("""COMPUTED_VALUE"""),52)</f>
        <v>52</v>
      </c>
      <c r="C159" s="108">
        <f ca="1">IFERROR(__xludf.DUMMYFUNCTION("""COMPUTED_VALUE"""),3)</f>
        <v>3</v>
      </c>
      <c r="D159" s="160">
        <f ca="1">IFERROR(__xludf.DUMMYFUNCTION("""COMPUTED_VALUE"""),6)</f>
        <v>6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</row>
    <row r="160" spans="1:28" ht="14.25" customHeight="1" x14ac:dyDescent="0.25">
      <c r="A160" s="108" t="str">
        <f ca="1">IFERROR(__xludf.DUMMYFUNCTION("""COMPUTED_VALUE"""),"189P")</f>
        <v>189P</v>
      </c>
      <c r="B160" s="108">
        <f ca="1">IFERROR(__xludf.DUMMYFUNCTION("""COMPUTED_VALUE"""),102)</f>
        <v>102</v>
      </c>
      <c r="C160" s="108">
        <f ca="1">IFERROR(__xludf.DUMMYFUNCTION("""COMPUTED_VALUE"""),1)</f>
        <v>1</v>
      </c>
      <c r="D160" s="160">
        <f ca="1">IFERROR(__xludf.DUMMYFUNCTION("""COMPUTED_VALUE"""),27)</f>
        <v>27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</row>
    <row r="161" spans="1:28" ht="14.25" customHeight="1" x14ac:dyDescent="0.25">
      <c r="A161" s="108" t="str">
        <f ca="1">IFERROR(__xludf.DUMMYFUNCTION("""COMPUTED_VALUE"""),"190K")</f>
        <v>190K</v>
      </c>
      <c r="B161" s="108" t="str">
        <f ca="1">IFERROR(__xludf.DUMMYFUNCTION("""COMPUTED_VALUE"""),"N.A.")</f>
        <v>N.A.</v>
      </c>
      <c r="C161" s="108" t="str">
        <f ca="1">IFERROR(__xludf.DUMMYFUNCTION("""COMPUTED_VALUE"""),"N.A.")</f>
        <v>N.A.</v>
      </c>
      <c r="D161" s="160">
        <f ca="1">IFERROR(__xludf.DUMMYFUNCTION("""COMPUTED_VALUE"""),135)</f>
        <v>135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</row>
    <row r="162" spans="1:28" ht="14.25" customHeight="1" x14ac:dyDescent="0.25">
      <c r="A162" s="108" t="str">
        <f ca="1">IFERROR(__xludf.DUMMYFUNCTION("""COMPUTED_VALUE"""),"191K")</f>
        <v>191K</v>
      </c>
      <c r="B162" s="108">
        <f ca="1">IFERROR(__xludf.DUMMYFUNCTION("""COMPUTED_VALUE"""),70)</f>
        <v>70</v>
      </c>
      <c r="C162" s="108">
        <f ca="1">IFERROR(__xludf.DUMMYFUNCTION("""COMPUTED_VALUE"""),3)</f>
        <v>3</v>
      </c>
      <c r="D162" s="160">
        <f ca="1">IFERROR(__xludf.DUMMYFUNCTION("""COMPUTED_VALUE"""),38)</f>
        <v>38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</row>
    <row r="163" spans="1:28" ht="14.25" customHeight="1" x14ac:dyDescent="0.25">
      <c r="A163" s="108" t="str">
        <f ca="1">IFERROR(__xludf.DUMMYFUNCTION("""COMPUTED_VALUE"""),"192K")</f>
        <v>192K</v>
      </c>
      <c r="B163" s="108">
        <f ca="1">IFERROR(__xludf.DUMMYFUNCTION("""COMPUTED_VALUE"""),95)</f>
        <v>95</v>
      </c>
      <c r="C163" s="108">
        <f ca="1">IFERROR(__xludf.DUMMYFUNCTION("""COMPUTED_VALUE"""),7)</f>
        <v>7</v>
      </c>
      <c r="D163" s="160">
        <f ca="1">IFERROR(__xludf.DUMMYFUNCTION("""COMPUTED_VALUE"""),111)</f>
        <v>111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</row>
    <row r="164" spans="1:28" ht="14.25" customHeight="1" x14ac:dyDescent="0.25">
      <c r="A164" s="108" t="str">
        <f ca="1">IFERROR(__xludf.DUMMYFUNCTION("""COMPUTED_VALUE"""),"194P")</f>
        <v>194P</v>
      </c>
      <c r="B164" s="108">
        <f ca="1">IFERROR(__xludf.DUMMYFUNCTION("""COMPUTED_VALUE"""),111)</f>
        <v>111</v>
      </c>
      <c r="C164" s="108">
        <f ca="1">IFERROR(__xludf.DUMMYFUNCTION("""COMPUTED_VALUE"""),1)</f>
        <v>1</v>
      </c>
      <c r="D164" s="160">
        <f ca="1">IFERROR(__xludf.DUMMYFUNCTION("""COMPUTED_VALUE"""),99)</f>
        <v>99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</row>
    <row r="165" spans="1:28" ht="14.25" customHeight="1" x14ac:dyDescent="0.25">
      <c r="A165" s="108" t="str">
        <f ca="1">IFERROR(__xludf.DUMMYFUNCTION("""COMPUTED_VALUE"""),"195K")</f>
        <v>195K</v>
      </c>
      <c r="B165" s="108">
        <f ca="1">IFERROR(__xludf.DUMMYFUNCTION("""COMPUTED_VALUE"""),63)</f>
        <v>63</v>
      </c>
      <c r="C165" s="108">
        <f ca="1">IFERROR(__xludf.DUMMYFUNCTION("""COMPUTED_VALUE"""),2)</f>
        <v>2</v>
      </c>
      <c r="D165" s="160">
        <f ca="1">IFERROR(__xludf.DUMMYFUNCTION("""COMPUTED_VALUE"""),36)</f>
        <v>36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</row>
    <row r="166" spans="1:28" ht="14.25" customHeight="1" x14ac:dyDescent="0.25">
      <c r="A166" s="108" t="str">
        <f ca="1">IFERROR(__xludf.DUMMYFUNCTION("""COMPUTED_VALUE"""),"196K")</f>
        <v>196K</v>
      </c>
      <c r="B166" s="108">
        <f ca="1">IFERROR(__xludf.DUMMYFUNCTION("""COMPUTED_VALUE"""),103)</f>
        <v>103</v>
      </c>
      <c r="C166" s="108">
        <f ca="1">IFERROR(__xludf.DUMMYFUNCTION("""COMPUTED_VALUE"""),5)</f>
        <v>5</v>
      </c>
      <c r="D166" s="160">
        <f ca="1">IFERROR(__xludf.DUMMYFUNCTION("""COMPUTED_VALUE"""),35)</f>
        <v>35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</row>
    <row r="167" spans="1:28" ht="14.25" customHeight="1" x14ac:dyDescent="0.25">
      <c r="A167" s="108" t="str">
        <f ca="1">IFERROR(__xludf.DUMMYFUNCTION("""COMPUTED_VALUE"""),"197P")</f>
        <v>197P</v>
      </c>
      <c r="B167" s="108">
        <f ca="1">IFERROR(__xludf.DUMMYFUNCTION("""COMPUTED_VALUE"""),67)</f>
        <v>67</v>
      </c>
      <c r="C167" s="108">
        <f ca="1">IFERROR(__xludf.DUMMYFUNCTION("""COMPUTED_VALUE"""),11)</f>
        <v>11</v>
      </c>
      <c r="D167" s="160">
        <f ca="1">IFERROR(__xludf.DUMMYFUNCTION("""COMPUTED_VALUE"""),145)</f>
        <v>145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</row>
    <row r="168" spans="1:28" ht="14.25" customHeight="1" x14ac:dyDescent="0.25">
      <c r="A168" s="108" t="str">
        <f ca="1">IFERROR(__xludf.DUMMYFUNCTION("""COMPUTED_VALUE"""),"198K")</f>
        <v>198K</v>
      </c>
      <c r="B168" s="108">
        <f ca="1">IFERROR(__xludf.DUMMYFUNCTION("""COMPUTED_VALUE"""),54)</f>
        <v>54</v>
      </c>
      <c r="C168" s="108">
        <f ca="1">IFERROR(__xludf.DUMMYFUNCTION("""COMPUTED_VALUE"""),4)</f>
        <v>4</v>
      </c>
      <c r="D168" s="160">
        <f ca="1">IFERROR(__xludf.DUMMYFUNCTION("""COMPUTED_VALUE"""),153)</f>
        <v>153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</row>
    <row r="169" spans="1:28" ht="14.25" customHeight="1" x14ac:dyDescent="0.25">
      <c r="A169" s="108" t="str">
        <f ca="1">IFERROR(__xludf.DUMMYFUNCTION("""COMPUTED_VALUE"""),"199K")</f>
        <v>199K</v>
      </c>
      <c r="B169" s="108">
        <f ca="1">IFERROR(__xludf.DUMMYFUNCTION("""COMPUTED_VALUE"""),61)</f>
        <v>61</v>
      </c>
      <c r="C169" s="108">
        <f ca="1">IFERROR(__xludf.DUMMYFUNCTION("""COMPUTED_VALUE"""),16)</f>
        <v>16</v>
      </c>
      <c r="D169" s="160">
        <f ca="1">IFERROR(__xludf.DUMMYFUNCTION("""COMPUTED_VALUE"""),6)</f>
        <v>6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</row>
    <row r="170" spans="1:28" ht="14.25" customHeight="1" x14ac:dyDescent="0.25">
      <c r="A170" s="108" t="str">
        <f ca="1">IFERROR(__xludf.DUMMYFUNCTION("""COMPUTED_VALUE"""),"200P")</f>
        <v>200P</v>
      </c>
      <c r="B170" s="108" t="str">
        <f ca="1">IFERROR(__xludf.DUMMYFUNCTION("""COMPUTED_VALUE"""),"N.A.")</f>
        <v>N.A.</v>
      </c>
      <c r="C170" s="108" t="str">
        <f ca="1">IFERROR(__xludf.DUMMYFUNCTION("""COMPUTED_VALUE"""),"N.A.")</f>
        <v>N.A.</v>
      </c>
      <c r="D170" s="160">
        <f ca="1">IFERROR(__xludf.DUMMYFUNCTION("""COMPUTED_VALUE"""),10)</f>
        <v>10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</row>
    <row r="171" spans="1:28" ht="14.25" customHeight="1" x14ac:dyDescent="0.25">
      <c r="A171" s="108" t="str">
        <f ca="1">IFERROR(__xludf.DUMMYFUNCTION("""COMPUTED_VALUE"""),"201K")</f>
        <v>201K</v>
      </c>
      <c r="B171" s="108" t="str">
        <f ca="1">IFERROR(__xludf.DUMMYFUNCTION("""COMPUTED_VALUE"""),"N.A.")</f>
        <v>N.A.</v>
      </c>
      <c r="C171" s="108" t="str">
        <f ca="1">IFERROR(__xludf.DUMMYFUNCTION("""COMPUTED_VALUE"""),"N.A.")</f>
        <v>N.A.</v>
      </c>
      <c r="D171" s="160">
        <f ca="1">IFERROR(__xludf.DUMMYFUNCTION("""COMPUTED_VALUE"""),98)</f>
        <v>98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</row>
    <row r="172" spans="1:28" ht="14.25" customHeight="1" x14ac:dyDescent="0.25">
      <c r="A172" s="108" t="str">
        <f ca="1">IFERROR(__xludf.DUMMYFUNCTION("""COMPUTED_VALUE"""),"203K")</f>
        <v>203K</v>
      </c>
      <c r="B172" s="108">
        <f ca="1">IFERROR(__xludf.DUMMYFUNCTION("""COMPUTED_VALUE"""),98)</f>
        <v>98</v>
      </c>
      <c r="C172" s="108">
        <f ca="1">IFERROR(__xludf.DUMMYFUNCTION("""COMPUTED_VALUE"""),2)</f>
        <v>2</v>
      </c>
      <c r="D172" s="160">
        <f ca="1">IFERROR(__xludf.DUMMYFUNCTION("""COMPUTED_VALUE"""),28)</f>
        <v>28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</row>
    <row r="173" spans="1:28" ht="14.25" customHeight="1" x14ac:dyDescent="0.25">
      <c r="A173" s="108" t="str">
        <f ca="1">IFERROR(__xludf.DUMMYFUNCTION("""COMPUTED_VALUE"""),"206K")</f>
        <v>206K</v>
      </c>
      <c r="B173" s="108">
        <f ca="1">IFERROR(__xludf.DUMMYFUNCTION("""COMPUTED_VALUE"""),77)</f>
        <v>77</v>
      </c>
      <c r="C173" s="108">
        <f ca="1">IFERROR(__xludf.DUMMYFUNCTION("""COMPUTED_VALUE"""),3)</f>
        <v>3</v>
      </c>
      <c r="D173" s="160">
        <f ca="1">IFERROR(__xludf.DUMMYFUNCTION("""COMPUTED_VALUE"""),37)</f>
        <v>37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</row>
    <row r="174" spans="1:28" ht="14.25" customHeight="1" x14ac:dyDescent="0.25">
      <c r="A174" s="108" t="str">
        <f ca="1">IFERROR(__xludf.DUMMYFUNCTION("""COMPUTED_VALUE"""),"207K")</f>
        <v>207K</v>
      </c>
      <c r="B174" s="108">
        <f ca="1">IFERROR(__xludf.DUMMYFUNCTION("""COMPUTED_VALUE"""),77)</f>
        <v>77</v>
      </c>
      <c r="C174" s="108">
        <f ca="1">IFERROR(__xludf.DUMMYFUNCTION("""COMPUTED_VALUE"""),2)</f>
        <v>2</v>
      </c>
      <c r="D174" s="160">
        <f ca="1">IFERROR(__xludf.DUMMYFUNCTION("""COMPUTED_VALUE"""),104)</f>
        <v>104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</row>
    <row r="175" spans="1:28" ht="14.25" customHeight="1" x14ac:dyDescent="0.25">
      <c r="A175" s="108" t="str">
        <f ca="1">IFERROR(__xludf.DUMMYFUNCTION("""COMPUTED_VALUE"""),"208K")</f>
        <v>208K</v>
      </c>
      <c r="B175" s="108">
        <f ca="1">IFERROR(__xludf.DUMMYFUNCTION("""COMPUTED_VALUE"""),74)</f>
        <v>74</v>
      </c>
      <c r="C175" s="108">
        <f ca="1">IFERROR(__xludf.DUMMYFUNCTION("""COMPUTED_VALUE"""),2)</f>
        <v>2</v>
      </c>
      <c r="D175" s="160">
        <f ca="1">IFERROR(__xludf.DUMMYFUNCTION("""COMPUTED_VALUE"""),117)</f>
        <v>117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</row>
    <row r="176" spans="1:28" ht="14.25" customHeight="1" x14ac:dyDescent="0.25">
      <c r="A176" s="108" t="str">
        <f ca="1">IFERROR(__xludf.DUMMYFUNCTION("""COMPUTED_VALUE"""),"209P")</f>
        <v>209P</v>
      </c>
      <c r="B176" s="108" t="str">
        <f ca="1">IFERROR(__xludf.DUMMYFUNCTION("""COMPUTED_VALUE"""),"N.A.")</f>
        <v>N.A.</v>
      </c>
      <c r="C176" s="108" t="str">
        <f ca="1">IFERROR(__xludf.DUMMYFUNCTION("""COMPUTED_VALUE"""),"N.A.")</f>
        <v>N.A.</v>
      </c>
      <c r="D176" s="160">
        <f ca="1">IFERROR(__xludf.DUMMYFUNCTION("""COMPUTED_VALUE"""),41)</f>
        <v>41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</row>
    <row r="177" spans="1:28" ht="14.25" customHeight="1" x14ac:dyDescent="0.25">
      <c r="A177" s="108" t="str">
        <f ca="1">IFERROR(__xludf.DUMMYFUNCTION("""COMPUTED_VALUE"""),"210K")</f>
        <v>210K</v>
      </c>
      <c r="B177" s="108">
        <f ca="1">IFERROR(__xludf.DUMMYFUNCTION("""COMPUTED_VALUE"""),66)</f>
        <v>66</v>
      </c>
      <c r="C177" s="108">
        <f ca="1">IFERROR(__xludf.DUMMYFUNCTION("""COMPUTED_VALUE"""),1)</f>
        <v>1</v>
      </c>
      <c r="D177" s="160">
        <f ca="1">IFERROR(__xludf.DUMMYFUNCTION("""COMPUTED_VALUE"""),38)</f>
        <v>38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</row>
    <row r="178" spans="1:28" ht="14.25" customHeight="1" x14ac:dyDescent="0.25">
      <c r="A178" s="108" t="str">
        <f ca="1">IFERROR(__xludf.DUMMYFUNCTION("""COMPUTED_VALUE"""),"211K")</f>
        <v>211K</v>
      </c>
      <c r="B178" s="108">
        <f ca="1">IFERROR(__xludf.DUMMYFUNCTION("""COMPUTED_VALUE"""),59)</f>
        <v>59</v>
      </c>
      <c r="C178" s="108">
        <f ca="1">IFERROR(__xludf.DUMMYFUNCTION("""COMPUTED_VALUE"""),0)</f>
        <v>0</v>
      </c>
      <c r="D178" s="160">
        <f ca="1">IFERROR(__xludf.DUMMYFUNCTION("""COMPUTED_VALUE"""),134)</f>
        <v>134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</row>
    <row r="179" spans="1:28" ht="14.25" customHeight="1" x14ac:dyDescent="0.25">
      <c r="A179" s="108" t="str">
        <f ca="1">IFERROR(__xludf.DUMMYFUNCTION("""COMPUTED_VALUE"""),"212P")</f>
        <v>212P</v>
      </c>
      <c r="B179" s="108">
        <f ca="1">IFERROR(__xludf.DUMMYFUNCTION("""COMPUTED_VALUE"""),98)</f>
        <v>98</v>
      </c>
      <c r="C179" s="108">
        <f ca="1">IFERROR(__xludf.DUMMYFUNCTION("""COMPUTED_VALUE"""),2)</f>
        <v>2</v>
      </c>
      <c r="D179" s="160">
        <f ca="1">IFERROR(__xludf.DUMMYFUNCTION("""COMPUTED_VALUE"""),28)</f>
        <v>28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</row>
    <row r="180" spans="1:28" ht="14.25" customHeight="1" x14ac:dyDescent="0.25">
      <c r="A180" s="108" t="str">
        <f ca="1">IFERROR(__xludf.DUMMYFUNCTION("""COMPUTED_VALUE"""),"213P")</f>
        <v>213P</v>
      </c>
      <c r="B180" s="108">
        <f ca="1">IFERROR(__xludf.DUMMYFUNCTION("""COMPUTED_VALUE"""),73)</f>
        <v>73</v>
      </c>
      <c r="C180" s="108">
        <f ca="1">IFERROR(__xludf.DUMMYFUNCTION("""COMPUTED_VALUE"""),3)</f>
        <v>3</v>
      </c>
      <c r="D180" s="160">
        <f ca="1">IFERROR(__xludf.DUMMYFUNCTION("""COMPUTED_VALUE"""),27)</f>
        <v>27</v>
      </c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</row>
    <row r="181" spans="1:28" ht="14.25" customHeight="1" x14ac:dyDescent="0.25">
      <c r="A181" s="108" t="str">
        <f ca="1">IFERROR(__xludf.DUMMYFUNCTION("""COMPUTED_VALUE"""),"214K")</f>
        <v>214K</v>
      </c>
      <c r="B181" s="108">
        <f ca="1">IFERROR(__xludf.DUMMYFUNCTION("""COMPUTED_VALUE"""),101)</f>
        <v>101</v>
      </c>
      <c r="C181" s="108">
        <f ca="1">IFERROR(__xludf.DUMMYFUNCTION("""COMPUTED_VALUE"""),3)</f>
        <v>3</v>
      </c>
      <c r="D181" s="160">
        <f ca="1">IFERROR(__xludf.DUMMYFUNCTION("""COMPUTED_VALUE"""),36)</f>
        <v>36</v>
      </c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</row>
    <row r="182" spans="1:28" ht="14.25" customHeight="1" x14ac:dyDescent="0.25">
      <c r="A182" s="108" t="str">
        <f ca="1">IFERROR(__xludf.DUMMYFUNCTION("""COMPUTED_VALUE"""),"215K")</f>
        <v>215K</v>
      </c>
      <c r="B182" s="108">
        <f ca="1">IFERROR(__xludf.DUMMYFUNCTION("""COMPUTED_VALUE"""),100)</f>
        <v>100</v>
      </c>
      <c r="C182" s="108">
        <f ca="1">IFERROR(__xludf.DUMMYFUNCTION("""COMPUTED_VALUE"""),1)</f>
        <v>1</v>
      </c>
      <c r="D182" s="160">
        <f ca="1">IFERROR(__xludf.DUMMYFUNCTION("""COMPUTED_VALUE"""),113)</f>
        <v>113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</row>
    <row r="183" spans="1:28" ht="14.25" customHeight="1" x14ac:dyDescent="0.25">
      <c r="A183" s="108" t="str">
        <f ca="1">IFERROR(__xludf.DUMMYFUNCTION("""COMPUTED_VALUE"""),"218K")</f>
        <v>218K</v>
      </c>
      <c r="B183" s="108">
        <f ca="1">IFERROR(__xludf.DUMMYFUNCTION("""COMPUTED_VALUE"""),93)</f>
        <v>93</v>
      </c>
      <c r="C183" s="108">
        <f ca="1">IFERROR(__xludf.DUMMYFUNCTION("""COMPUTED_VALUE"""),1)</f>
        <v>1</v>
      </c>
      <c r="D183" s="160">
        <f ca="1">IFERROR(__xludf.DUMMYFUNCTION("""COMPUTED_VALUE"""),45)</f>
        <v>45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</row>
    <row r="184" spans="1:28" ht="14.25" customHeight="1" x14ac:dyDescent="0.25">
      <c r="A184" s="108" t="str">
        <f ca="1">IFERROR(__xludf.DUMMYFUNCTION("""COMPUTED_VALUE"""),"219K")</f>
        <v>219K</v>
      </c>
      <c r="B184" s="108">
        <f ca="1">IFERROR(__xludf.DUMMYFUNCTION("""COMPUTED_VALUE"""),62)</f>
        <v>62</v>
      </c>
      <c r="C184" s="108">
        <f ca="1">IFERROR(__xludf.DUMMYFUNCTION("""COMPUTED_VALUE"""),2)</f>
        <v>2</v>
      </c>
      <c r="D184" s="160">
        <f ca="1">IFERROR(__xludf.DUMMYFUNCTION("""COMPUTED_VALUE"""),97)</f>
        <v>97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</row>
    <row r="185" spans="1:28" ht="14.25" customHeight="1" x14ac:dyDescent="0.25">
      <c r="A185" s="108" t="str">
        <f ca="1">IFERROR(__xludf.DUMMYFUNCTION("""COMPUTED_VALUE"""),"220K")</f>
        <v>220K</v>
      </c>
      <c r="B185" s="108">
        <f ca="1">IFERROR(__xludf.DUMMYFUNCTION("""COMPUTED_VALUE"""),80)</f>
        <v>80</v>
      </c>
      <c r="C185" s="108">
        <f ca="1">IFERROR(__xludf.DUMMYFUNCTION("""COMPUTED_VALUE"""),1)</f>
        <v>1</v>
      </c>
      <c r="D185" s="160">
        <f ca="1">IFERROR(__xludf.DUMMYFUNCTION("""COMPUTED_VALUE"""),18)</f>
        <v>18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</row>
    <row r="186" spans="1:28" ht="14.25" customHeight="1" x14ac:dyDescent="0.25">
      <c r="A186" s="108" t="str">
        <f ca="1">IFERROR(__xludf.DUMMYFUNCTION("""COMPUTED_VALUE"""),"223K")</f>
        <v>223K</v>
      </c>
      <c r="B186" s="108" t="str">
        <f ca="1">IFERROR(__xludf.DUMMYFUNCTION("""COMPUTED_VALUE"""),"N.A.")</f>
        <v>N.A.</v>
      </c>
      <c r="C186" s="108">
        <f ca="1">IFERROR(__xludf.DUMMYFUNCTION("""COMPUTED_VALUE"""),0)</f>
        <v>0</v>
      </c>
      <c r="D186" s="160">
        <f ca="1">IFERROR(__xludf.DUMMYFUNCTION("""COMPUTED_VALUE"""),99)</f>
        <v>99</v>
      </c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</row>
    <row r="187" spans="1:28" ht="14.25" customHeight="1" x14ac:dyDescent="0.25">
      <c r="A187" s="108" t="str">
        <f ca="1">IFERROR(__xludf.DUMMYFUNCTION("""COMPUTED_VALUE"""),"227K")</f>
        <v>227K</v>
      </c>
      <c r="B187" s="108" t="str">
        <f ca="1">IFERROR(__xludf.DUMMYFUNCTION("""COMPUTED_VALUE"""),"N.A.")</f>
        <v>N.A.</v>
      </c>
      <c r="C187" s="108">
        <f ca="1">IFERROR(__xludf.DUMMYFUNCTION("""COMPUTED_VALUE"""),0)</f>
        <v>0</v>
      </c>
      <c r="D187" s="160">
        <f ca="1">IFERROR(__xludf.DUMMYFUNCTION("""COMPUTED_VALUE"""),135)</f>
        <v>135</v>
      </c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</row>
    <row r="188" spans="1:28" ht="14.25" customHeight="1" x14ac:dyDescent="0.25">
      <c r="A188" s="108" t="str">
        <f ca="1">IFERROR(__xludf.DUMMYFUNCTION("""COMPUTED_VALUE"""),"228P")</f>
        <v>228P</v>
      </c>
      <c r="B188" s="108" t="str">
        <f ca="1">IFERROR(__xludf.DUMMYFUNCTION("""COMPUTED_VALUE"""),"N.A.")</f>
        <v>N.A.</v>
      </c>
      <c r="C188" s="108">
        <f ca="1">IFERROR(__xludf.DUMMYFUNCTION("""COMPUTED_VALUE"""),0)</f>
        <v>0</v>
      </c>
      <c r="D188" s="160">
        <f ca="1">IFERROR(__xludf.DUMMYFUNCTION("""COMPUTED_VALUE"""),150)</f>
        <v>150</v>
      </c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</row>
    <row r="189" spans="1:28" ht="14.25" customHeight="1" x14ac:dyDescent="0.25">
      <c r="A189" s="108" t="str">
        <f ca="1">IFERROR(__xludf.DUMMYFUNCTION("""COMPUTED_VALUE"""),"229K")</f>
        <v>229K</v>
      </c>
      <c r="B189" s="108" t="str">
        <f ca="1">IFERROR(__xludf.DUMMYFUNCTION("""COMPUTED_VALUE"""),"N.A.")</f>
        <v>N.A.</v>
      </c>
      <c r="C189" s="108">
        <f ca="1">IFERROR(__xludf.DUMMYFUNCTION("""COMPUTED_VALUE"""),0)</f>
        <v>0</v>
      </c>
      <c r="D189" s="160">
        <f ca="1">IFERROR(__xludf.DUMMYFUNCTION("""COMPUTED_VALUE"""),37)</f>
        <v>37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</row>
    <row r="190" spans="1:28" ht="14.25" customHeight="1" x14ac:dyDescent="0.25">
      <c r="A190" s="108" t="str">
        <f ca="1">IFERROR(__xludf.DUMMYFUNCTION("""COMPUTED_VALUE"""),"230K")</f>
        <v>230K</v>
      </c>
      <c r="B190" s="108" t="str">
        <f ca="1">IFERROR(__xludf.DUMMYFUNCTION("""COMPUTED_VALUE"""),"N.A.")</f>
        <v>N.A.</v>
      </c>
      <c r="C190" s="108">
        <f ca="1">IFERROR(__xludf.DUMMYFUNCTION("""COMPUTED_VALUE"""),0)</f>
        <v>0</v>
      </c>
      <c r="D190" s="160">
        <f ca="1">IFERROR(__xludf.DUMMYFUNCTION("""COMPUTED_VALUE"""),40)</f>
        <v>40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</row>
    <row r="191" spans="1:28" ht="14.25" customHeight="1" x14ac:dyDescent="0.25">
      <c r="A191" s="108" t="str">
        <f ca="1">IFERROR(__xludf.DUMMYFUNCTION("""COMPUTED_VALUE"""),"231K")</f>
        <v>231K</v>
      </c>
      <c r="B191" s="108" t="str">
        <f ca="1">IFERROR(__xludf.DUMMYFUNCTION("""COMPUTED_VALUE"""),"N.A.")</f>
        <v>N.A.</v>
      </c>
      <c r="C191" s="108">
        <f ca="1">IFERROR(__xludf.DUMMYFUNCTION("""COMPUTED_VALUE"""),0)</f>
        <v>0</v>
      </c>
      <c r="D191" s="160">
        <f ca="1">IFERROR(__xludf.DUMMYFUNCTION("""COMPUTED_VALUE"""),40)</f>
        <v>40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</row>
    <row r="192" spans="1:28" ht="14.25" customHeight="1" x14ac:dyDescent="0.25">
      <c r="A192" s="108" t="str">
        <f ca="1">IFERROR(__xludf.DUMMYFUNCTION("""COMPUTED_VALUE"""),"232K")</f>
        <v>232K</v>
      </c>
      <c r="B192" s="108" t="str">
        <f ca="1">IFERROR(__xludf.DUMMYFUNCTION("""COMPUTED_VALUE"""),"N.A.")</f>
        <v>N.A.</v>
      </c>
      <c r="C192" s="108">
        <f ca="1">IFERROR(__xludf.DUMMYFUNCTION("""COMPUTED_VALUE"""),0)</f>
        <v>0</v>
      </c>
      <c r="D192" s="160">
        <f ca="1">IFERROR(__xludf.DUMMYFUNCTION("""COMPUTED_VALUE"""),40)</f>
        <v>40</v>
      </c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</row>
    <row r="193" spans="1:28" ht="14.25" customHeight="1" x14ac:dyDescent="0.25">
      <c r="A193" s="108" t="str">
        <f ca="1">IFERROR(__xludf.DUMMYFUNCTION("""COMPUTED_VALUE"""),"233K")</f>
        <v>233K</v>
      </c>
      <c r="B193" s="108" t="str">
        <f ca="1">IFERROR(__xludf.DUMMYFUNCTION("""COMPUTED_VALUE"""),"N.A.")</f>
        <v>N.A.</v>
      </c>
      <c r="C193" s="108">
        <f ca="1">IFERROR(__xludf.DUMMYFUNCTION("""COMPUTED_VALUE"""),0)</f>
        <v>0</v>
      </c>
      <c r="D193" s="160">
        <f ca="1">IFERROR(__xludf.DUMMYFUNCTION("""COMPUTED_VALUE"""),40)</f>
        <v>40</v>
      </c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</row>
    <row r="194" spans="1:28" ht="14.25" customHeight="1" x14ac:dyDescent="0.25">
      <c r="A194" s="108" t="str">
        <f ca="1">IFERROR(__xludf.DUMMYFUNCTION("""COMPUTED_VALUE"""),"234K")</f>
        <v>234K</v>
      </c>
      <c r="B194" s="108" t="str">
        <f ca="1">IFERROR(__xludf.DUMMYFUNCTION("""COMPUTED_VALUE"""),"N.A.")</f>
        <v>N.A.</v>
      </c>
      <c r="C194" s="108">
        <f ca="1">IFERROR(__xludf.DUMMYFUNCTION("""COMPUTED_VALUE"""),0)</f>
        <v>0</v>
      </c>
      <c r="D194" s="160">
        <f ca="1">IFERROR(__xludf.DUMMYFUNCTION("""COMPUTED_VALUE"""),40)</f>
        <v>40</v>
      </c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</row>
    <row r="195" spans="1:28" ht="14.25" customHeight="1" x14ac:dyDescent="0.25">
      <c r="A195" s="108" t="str">
        <f ca="1">IFERROR(__xludf.DUMMYFUNCTION("""COMPUTED_VALUE"""),"235K")</f>
        <v>235K</v>
      </c>
      <c r="B195" s="108">
        <f ca="1">IFERROR(__xludf.DUMMYFUNCTION("""COMPUTED_VALUE"""),67)</f>
        <v>67</v>
      </c>
      <c r="C195" s="108">
        <f ca="1">IFERROR(__xludf.DUMMYFUNCTION("""COMPUTED_VALUE"""),7)</f>
        <v>7</v>
      </c>
      <c r="D195" s="160">
        <f ca="1">IFERROR(__xludf.DUMMYFUNCTION("""COMPUTED_VALUE"""),10)</f>
        <v>10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</row>
    <row r="196" spans="1:28" ht="14.25" customHeight="1" x14ac:dyDescent="0.25">
      <c r="A196" s="70"/>
      <c r="B196" s="70"/>
      <c r="C196" s="70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</row>
    <row r="197" spans="1:28" ht="14.25" customHeight="1" x14ac:dyDescent="0.25">
      <c r="A197" s="70"/>
      <c r="B197" s="70"/>
      <c r="C197" s="70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</row>
    <row r="198" spans="1:28" ht="14.25" customHeight="1" x14ac:dyDescent="0.25">
      <c r="A198" s="70"/>
      <c r="B198" s="70"/>
      <c r="C198" s="70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</row>
    <row r="199" spans="1:28" ht="14.25" customHeight="1" x14ac:dyDescent="0.25">
      <c r="A199" s="70"/>
      <c r="B199" s="70"/>
      <c r="C199" s="70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</row>
    <row r="200" spans="1:28" ht="14.25" customHeight="1" x14ac:dyDescent="0.25">
      <c r="A200" s="70"/>
      <c r="B200" s="70"/>
      <c r="C200" s="70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</row>
    <row r="201" spans="1:28" ht="14.25" customHeight="1" x14ac:dyDescent="0.25">
      <c r="A201" s="70"/>
      <c r="B201" s="70"/>
      <c r="C201" s="70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</row>
    <row r="202" spans="1:28" ht="14.25" customHeight="1" x14ac:dyDescent="0.25">
      <c r="A202" s="70"/>
      <c r="B202" s="70"/>
      <c r="C202" s="70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</row>
    <row r="203" spans="1:28" ht="14.25" customHeight="1" x14ac:dyDescent="0.25">
      <c r="A203" s="70"/>
      <c r="B203" s="70"/>
      <c r="C203" s="70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</row>
    <row r="204" spans="1:28" ht="14.25" customHeight="1" x14ac:dyDescent="0.25">
      <c r="A204" s="70"/>
      <c r="B204" s="70"/>
      <c r="C204" s="70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</row>
    <row r="205" spans="1:28" ht="14.25" customHeight="1" x14ac:dyDescent="0.25">
      <c r="A205" s="70"/>
      <c r="B205" s="70"/>
      <c r="C205" s="70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</row>
    <row r="206" spans="1:28" ht="14.25" customHeight="1" x14ac:dyDescent="0.25">
      <c r="A206" s="70"/>
      <c r="B206" s="70"/>
      <c r="C206" s="70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</row>
    <row r="207" spans="1:28" ht="14.25" customHeight="1" x14ac:dyDescent="0.25">
      <c r="A207" s="70"/>
      <c r="B207" s="70"/>
      <c r="C207" s="70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</row>
    <row r="208" spans="1:28" ht="14.25" customHeight="1" x14ac:dyDescent="0.25">
      <c r="A208" s="70"/>
      <c r="B208" s="70"/>
      <c r="C208" s="70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</row>
    <row r="209" spans="1:28" ht="14.25" customHeight="1" x14ac:dyDescent="0.25">
      <c r="A209" s="70"/>
      <c r="B209" s="70"/>
      <c r="C209" s="70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</row>
    <row r="210" spans="1:28" ht="14.25" customHeight="1" x14ac:dyDescent="0.25">
      <c r="A210" s="70"/>
      <c r="B210" s="70"/>
      <c r="C210" s="70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</row>
    <row r="211" spans="1:28" ht="14.25" customHeight="1" x14ac:dyDescent="0.25">
      <c r="A211" s="70"/>
      <c r="B211" s="70"/>
      <c r="C211" s="70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</row>
    <row r="212" spans="1:28" ht="14.25" customHeight="1" x14ac:dyDescent="0.25">
      <c r="A212" s="70"/>
      <c r="B212" s="70"/>
      <c r="C212" s="70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</row>
    <row r="213" spans="1:28" ht="14.25" customHeight="1" x14ac:dyDescent="0.25">
      <c r="A213" s="70"/>
      <c r="B213" s="70"/>
      <c r="C213" s="70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</row>
    <row r="214" spans="1:28" ht="14.25" customHeight="1" x14ac:dyDescent="0.25">
      <c r="A214" s="70"/>
      <c r="B214" s="70"/>
      <c r="C214" s="70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</row>
    <row r="215" spans="1:28" ht="14.25" customHeight="1" x14ac:dyDescent="0.25">
      <c r="A215" s="70"/>
      <c r="B215" s="70"/>
      <c r="C215" s="70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</row>
    <row r="216" spans="1:28" ht="14.25" customHeight="1" x14ac:dyDescent="0.25">
      <c r="A216" s="70"/>
      <c r="B216" s="70"/>
      <c r="C216" s="70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</row>
    <row r="217" spans="1:28" ht="14.25" customHeight="1" x14ac:dyDescent="0.25">
      <c r="A217" s="70"/>
      <c r="B217" s="70"/>
      <c r="C217" s="70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</row>
    <row r="218" spans="1:28" ht="14.25" customHeight="1" x14ac:dyDescent="0.25">
      <c r="A218" s="70"/>
      <c r="B218" s="70"/>
      <c r="C218" s="70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</row>
    <row r="219" spans="1:28" ht="14.25" customHeight="1" x14ac:dyDescent="0.25">
      <c r="A219" s="70"/>
      <c r="B219" s="70"/>
      <c r="C219" s="70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</row>
    <row r="220" spans="1:28" ht="14.25" customHeight="1" x14ac:dyDescent="0.25">
      <c r="A220" s="70"/>
      <c r="B220" s="70"/>
      <c r="C220" s="70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</row>
    <row r="221" spans="1:28" ht="14.25" customHeight="1" x14ac:dyDescent="0.25">
      <c r="A221" s="70"/>
      <c r="B221" s="70"/>
      <c r="C221" s="70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</row>
    <row r="222" spans="1:28" ht="14.25" customHeight="1" x14ac:dyDescent="0.25">
      <c r="A222" s="70"/>
      <c r="B222" s="70"/>
      <c r="C222" s="70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</row>
    <row r="223" spans="1:28" ht="14.25" customHeight="1" x14ac:dyDescent="0.25">
      <c r="A223" s="70"/>
      <c r="B223" s="70"/>
      <c r="C223" s="70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</row>
    <row r="224" spans="1:28" ht="14.25" customHeight="1" x14ac:dyDescent="0.25">
      <c r="A224" s="70"/>
      <c r="B224" s="70"/>
      <c r="C224" s="70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</row>
    <row r="225" spans="1:28" ht="14.25" customHeight="1" x14ac:dyDescent="0.25">
      <c r="A225" s="70"/>
      <c r="B225" s="70"/>
      <c r="C225" s="70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</row>
    <row r="226" spans="1:28" ht="14.25" customHeight="1" x14ac:dyDescent="0.25">
      <c r="A226" s="70"/>
      <c r="B226" s="70"/>
      <c r="C226" s="70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</row>
    <row r="227" spans="1:28" ht="14.25" customHeight="1" x14ac:dyDescent="0.25">
      <c r="A227" s="70"/>
      <c r="B227" s="70"/>
      <c r="C227" s="70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</row>
    <row r="228" spans="1:28" ht="14.25" customHeight="1" x14ac:dyDescent="0.25">
      <c r="A228" s="70"/>
      <c r="B228" s="70"/>
      <c r="C228" s="70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</row>
    <row r="229" spans="1:28" ht="14.25" customHeight="1" x14ac:dyDescent="0.25">
      <c r="A229" s="70"/>
      <c r="B229" s="70"/>
      <c r="C229" s="70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</row>
    <row r="230" spans="1:28" ht="14.25" customHeight="1" x14ac:dyDescent="0.25">
      <c r="A230" s="70"/>
      <c r="B230" s="70"/>
      <c r="C230" s="70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</row>
    <row r="231" spans="1:28" ht="14.25" customHeight="1" x14ac:dyDescent="0.25">
      <c r="A231" s="70"/>
      <c r="B231" s="70"/>
      <c r="C231" s="70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</row>
    <row r="232" spans="1:28" ht="14.25" customHeight="1" x14ac:dyDescent="0.25">
      <c r="A232" s="70"/>
      <c r="B232" s="70"/>
      <c r="C232" s="70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</row>
    <row r="233" spans="1:28" ht="14.25" customHeight="1" x14ac:dyDescent="0.25">
      <c r="A233" s="70"/>
      <c r="B233" s="70"/>
      <c r="C233" s="70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</row>
    <row r="234" spans="1:28" ht="14.25" customHeight="1" x14ac:dyDescent="0.25">
      <c r="A234" s="70"/>
      <c r="B234" s="70"/>
      <c r="C234" s="70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</row>
    <row r="235" spans="1:28" ht="14.25" customHeight="1" x14ac:dyDescent="0.25">
      <c r="A235" s="70"/>
      <c r="B235" s="70"/>
      <c r="C235" s="70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</row>
    <row r="236" spans="1:28" ht="14.25" customHeight="1" x14ac:dyDescent="0.25">
      <c r="A236" s="70"/>
      <c r="B236" s="70"/>
      <c r="C236" s="70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</row>
    <row r="237" spans="1:28" ht="14.25" customHeight="1" x14ac:dyDescent="0.2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</row>
    <row r="238" spans="1:28" ht="14.25" customHeight="1" x14ac:dyDescent="0.2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</row>
    <row r="239" spans="1:28" ht="14.25" customHeight="1" x14ac:dyDescent="0.2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</row>
    <row r="240" spans="1:28" ht="14.25" customHeight="1" x14ac:dyDescent="0.2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</row>
    <row r="241" spans="1:28" ht="14.25" customHeight="1" x14ac:dyDescent="0.2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</row>
    <row r="242" spans="1:28" ht="14.25" customHeight="1" x14ac:dyDescent="0.2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</row>
    <row r="243" spans="1:28" ht="14.25" customHeight="1" x14ac:dyDescent="0.2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</row>
    <row r="244" spans="1:28" ht="14.25" customHeight="1" x14ac:dyDescent="0.2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</row>
    <row r="245" spans="1:28" ht="14.25" customHeight="1" x14ac:dyDescent="0.2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</row>
    <row r="246" spans="1:28" ht="14.25" customHeight="1" x14ac:dyDescent="0.2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</row>
    <row r="247" spans="1:28" ht="14.25" customHeight="1" x14ac:dyDescent="0.2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</row>
    <row r="248" spans="1:28" ht="14.25" customHeight="1" x14ac:dyDescent="0.2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</row>
    <row r="249" spans="1:28" ht="14.25" customHeight="1" x14ac:dyDescent="0.2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</row>
    <row r="250" spans="1:28" ht="14.25" customHeight="1" x14ac:dyDescent="0.2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</row>
    <row r="251" spans="1:28" ht="14.25" customHeight="1" x14ac:dyDescent="0.2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</row>
    <row r="252" spans="1:28" ht="14.25" customHeight="1" x14ac:dyDescent="0.2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</row>
    <row r="253" spans="1:28" ht="14.25" customHeight="1" x14ac:dyDescent="0.2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</row>
    <row r="254" spans="1:28" ht="14.25" customHeight="1" x14ac:dyDescent="0.2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</row>
    <row r="255" spans="1:28" ht="14.25" customHeight="1" x14ac:dyDescent="0.2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</row>
    <row r="256" spans="1:28" ht="14.25" customHeight="1" x14ac:dyDescent="0.2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</row>
    <row r="257" spans="1:28" ht="14.25" customHeight="1" x14ac:dyDescent="0.2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</row>
    <row r="258" spans="1:28" ht="14.25" customHeight="1" x14ac:dyDescent="0.2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</row>
    <row r="259" spans="1:28" ht="14.25" customHeight="1" x14ac:dyDescent="0.2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</row>
    <row r="260" spans="1:28" ht="14.25" customHeight="1" x14ac:dyDescent="0.2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</row>
    <row r="261" spans="1:28" ht="14.25" customHeight="1" x14ac:dyDescent="0.2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</row>
    <row r="262" spans="1:28" ht="14.25" customHeight="1" x14ac:dyDescent="0.2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</row>
    <row r="263" spans="1:28" ht="14.25" customHeight="1" x14ac:dyDescent="0.2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</row>
    <row r="264" spans="1:28" ht="14.25" customHeight="1" x14ac:dyDescent="0.2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</row>
    <row r="265" spans="1:28" ht="14.25" customHeight="1" x14ac:dyDescent="0.2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</row>
    <row r="266" spans="1:28" ht="14.25" customHeight="1" x14ac:dyDescent="0.2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</row>
    <row r="267" spans="1:28" ht="14.25" customHeight="1" x14ac:dyDescent="0.2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</row>
    <row r="268" spans="1:28" ht="14.25" customHeight="1" x14ac:dyDescent="0.2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</row>
    <row r="269" spans="1:28" ht="14.25" customHeight="1" x14ac:dyDescent="0.2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</row>
    <row r="270" spans="1:28" ht="14.25" customHeight="1" x14ac:dyDescent="0.2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</row>
    <row r="271" spans="1:28" ht="14.25" customHeight="1" x14ac:dyDescent="0.2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</row>
    <row r="272" spans="1:28" ht="14.25" customHeight="1" x14ac:dyDescent="0.2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</row>
    <row r="273" spans="1:28" ht="14.25" customHeight="1" x14ac:dyDescent="0.2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</row>
    <row r="274" spans="1:28" ht="14.25" customHeight="1" x14ac:dyDescent="0.2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</row>
    <row r="275" spans="1:28" ht="14.25" customHeight="1" x14ac:dyDescent="0.2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</row>
    <row r="276" spans="1:28" ht="14.25" customHeight="1" x14ac:dyDescent="0.2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</row>
    <row r="277" spans="1:28" ht="14.25" customHeight="1" x14ac:dyDescent="0.2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</row>
    <row r="278" spans="1:28" ht="14.25" customHeight="1" x14ac:dyDescent="0.2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</row>
    <row r="279" spans="1:28" ht="14.25" customHeight="1" x14ac:dyDescent="0.2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</row>
    <row r="280" spans="1:28" ht="14.25" customHeight="1" x14ac:dyDescent="0.2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</row>
    <row r="281" spans="1:28" ht="14.25" customHeight="1" x14ac:dyDescent="0.2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</row>
    <row r="282" spans="1:28" ht="14.25" customHeight="1" x14ac:dyDescent="0.2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</row>
    <row r="283" spans="1:28" ht="14.25" customHeight="1" x14ac:dyDescent="0.2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</row>
    <row r="284" spans="1:28" ht="14.25" customHeight="1" x14ac:dyDescent="0.2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</row>
    <row r="285" spans="1:28" ht="14.25" customHeight="1" x14ac:dyDescent="0.2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</row>
    <row r="286" spans="1:28" ht="14.25" customHeight="1" x14ac:dyDescent="0.2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</row>
    <row r="287" spans="1:28" ht="14.25" customHeight="1" x14ac:dyDescent="0.2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</row>
    <row r="288" spans="1:28" ht="14.25" customHeight="1" x14ac:dyDescent="0.2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</row>
    <row r="289" spans="1:28" ht="14.25" customHeight="1" x14ac:dyDescent="0.2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</row>
    <row r="290" spans="1:28" ht="14.25" customHeight="1" x14ac:dyDescent="0.2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</row>
    <row r="291" spans="1:28" ht="14.25" customHeight="1" x14ac:dyDescent="0.2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</row>
    <row r="292" spans="1:28" ht="14.25" customHeight="1" x14ac:dyDescent="0.2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</row>
    <row r="293" spans="1:28" ht="14.25" customHeight="1" x14ac:dyDescent="0.2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</row>
    <row r="294" spans="1:28" ht="14.25" customHeight="1" x14ac:dyDescent="0.2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</row>
    <row r="295" spans="1:28" ht="14.25" customHeight="1" x14ac:dyDescent="0.2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</row>
    <row r="296" spans="1:28" ht="14.25" customHeight="1" x14ac:dyDescent="0.2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</row>
    <row r="297" spans="1:28" ht="14.25" customHeight="1" x14ac:dyDescent="0.2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</row>
    <row r="298" spans="1:28" ht="14.25" customHeight="1" x14ac:dyDescent="0.2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</row>
    <row r="299" spans="1:28" ht="14.25" customHeight="1" x14ac:dyDescent="0.2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</row>
    <row r="300" spans="1:28" ht="14.25" customHeight="1" x14ac:dyDescent="0.2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</row>
    <row r="301" spans="1:28" ht="14.25" customHeight="1" x14ac:dyDescent="0.2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</row>
    <row r="302" spans="1:28" ht="14.25" customHeight="1" x14ac:dyDescent="0.2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</row>
    <row r="303" spans="1:28" ht="14.25" customHeight="1" x14ac:dyDescent="0.2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</row>
    <row r="304" spans="1:28" ht="14.25" customHeight="1" x14ac:dyDescent="0.2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</row>
    <row r="305" spans="1:28" ht="14.25" customHeight="1" x14ac:dyDescent="0.2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</row>
    <row r="306" spans="1:28" ht="14.25" customHeight="1" x14ac:dyDescent="0.2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</row>
    <row r="307" spans="1:28" ht="14.25" customHeight="1" x14ac:dyDescent="0.2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</row>
    <row r="308" spans="1:28" ht="14.25" customHeight="1" x14ac:dyDescent="0.2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</row>
    <row r="309" spans="1:28" ht="14.25" customHeight="1" x14ac:dyDescent="0.2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</row>
    <row r="310" spans="1:28" ht="14.25" customHeight="1" x14ac:dyDescent="0.2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</row>
    <row r="311" spans="1:28" ht="14.25" customHeight="1" x14ac:dyDescent="0.2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</row>
    <row r="312" spans="1:28" ht="14.25" customHeight="1" x14ac:dyDescent="0.2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</row>
    <row r="313" spans="1:28" ht="14.25" customHeight="1" x14ac:dyDescent="0.2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</row>
    <row r="314" spans="1:28" ht="14.25" customHeight="1" x14ac:dyDescent="0.2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</row>
    <row r="315" spans="1:28" ht="14.25" customHeight="1" x14ac:dyDescent="0.2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</row>
    <row r="316" spans="1:28" ht="14.25" customHeight="1" x14ac:dyDescent="0.2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</row>
    <row r="317" spans="1:28" ht="14.25" customHeight="1" x14ac:dyDescent="0.2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</row>
    <row r="318" spans="1:28" ht="14.25" customHeight="1" x14ac:dyDescent="0.2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</row>
    <row r="319" spans="1:28" ht="14.25" customHeight="1" x14ac:dyDescent="0.2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</row>
    <row r="320" spans="1:28" ht="14.25" customHeight="1" x14ac:dyDescent="0.2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</row>
    <row r="321" spans="1:28" ht="14.25" customHeight="1" x14ac:dyDescent="0.2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</row>
    <row r="322" spans="1:28" ht="14.25" customHeight="1" x14ac:dyDescent="0.2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</row>
    <row r="323" spans="1:28" ht="14.25" customHeight="1" x14ac:dyDescent="0.2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</row>
    <row r="324" spans="1:28" ht="14.25" customHeight="1" x14ac:dyDescent="0.2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</row>
    <row r="325" spans="1:28" ht="14.25" customHeight="1" x14ac:dyDescent="0.2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</row>
    <row r="326" spans="1:28" ht="14.25" customHeight="1" x14ac:dyDescent="0.2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</row>
    <row r="327" spans="1:28" ht="14.25" customHeight="1" x14ac:dyDescent="0.2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</row>
    <row r="328" spans="1:28" ht="14.25" customHeight="1" x14ac:dyDescent="0.2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</row>
    <row r="329" spans="1:28" ht="14.25" customHeight="1" x14ac:dyDescent="0.2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</row>
    <row r="330" spans="1:28" ht="14.25" customHeight="1" x14ac:dyDescent="0.2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</row>
    <row r="331" spans="1:28" ht="14.25" customHeight="1" x14ac:dyDescent="0.2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</row>
    <row r="332" spans="1:28" ht="14.25" customHeight="1" x14ac:dyDescent="0.2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</row>
    <row r="333" spans="1:28" ht="14.25" customHeight="1" x14ac:dyDescent="0.2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</row>
    <row r="334" spans="1:28" ht="14.25" customHeight="1" x14ac:dyDescent="0.2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</row>
    <row r="335" spans="1:28" ht="14.25" customHeight="1" x14ac:dyDescent="0.2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</row>
    <row r="336" spans="1:28" ht="14.25" customHeight="1" x14ac:dyDescent="0.2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</row>
    <row r="337" spans="1:28" ht="14.25" customHeight="1" x14ac:dyDescent="0.2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</row>
    <row r="338" spans="1:28" ht="14.25" customHeight="1" x14ac:dyDescent="0.2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</row>
    <row r="339" spans="1:28" ht="14.25" customHeight="1" x14ac:dyDescent="0.2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</row>
    <row r="340" spans="1:28" ht="14.25" customHeight="1" x14ac:dyDescent="0.2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</row>
    <row r="341" spans="1:28" ht="14.25" customHeight="1" x14ac:dyDescent="0.2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</row>
    <row r="342" spans="1:28" ht="14.25" customHeight="1" x14ac:dyDescent="0.2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</row>
    <row r="343" spans="1:28" ht="14.25" customHeight="1" x14ac:dyDescent="0.2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</row>
    <row r="344" spans="1:28" ht="14.25" customHeight="1" x14ac:dyDescent="0.2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</row>
    <row r="345" spans="1:28" ht="14.25" customHeight="1" x14ac:dyDescent="0.2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</row>
    <row r="346" spans="1:28" ht="14.25" customHeight="1" x14ac:dyDescent="0.2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</row>
    <row r="347" spans="1:28" ht="14.25" customHeight="1" x14ac:dyDescent="0.2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</row>
    <row r="348" spans="1:28" ht="14.25" customHeight="1" x14ac:dyDescent="0.2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</row>
    <row r="349" spans="1:28" ht="14.25" customHeight="1" x14ac:dyDescent="0.2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</row>
    <row r="350" spans="1:28" ht="14.25" customHeight="1" x14ac:dyDescent="0.2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</row>
    <row r="351" spans="1:28" ht="14.25" customHeight="1" x14ac:dyDescent="0.2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</row>
    <row r="352" spans="1:28" ht="14.25" customHeight="1" x14ac:dyDescent="0.2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</row>
    <row r="353" spans="1:28" ht="14.25" customHeight="1" x14ac:dyDescent="0.2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</row>
    <row r="354" spans="1:28" ht="14.25" customHeight="1" x14ac:dyDescent="0.2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</row>
    <row r="355" spans="1:28" ht="14.25" customHeight="1" x14ac:dyDescent="0.2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</row>
    <row r="356" spans="1:28" ht="14.25" customHeight="1" x14ac:dyDescent="0.2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</row>
    <row r="357" spans="1:28" ht="14.25" customHeight="1" x14ac:dyDescent="0.2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</row>
    <row r="358" spans="1:28" ht="14.25" customHeight="1" x14ac:dyDescent="0.2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</row>
    <row r="359" spans="1:28" ht="14.25" customHeight="1" x14ac:dyDescent="0.2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</row>
    <row r="360" spans="1:28" ht="14.25" customHeight="1" x14ac:dyDescent="0.2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</row>
    <row r="361" spans="1:28" ht="14.25" customHeight="1" x14ac:dyDescent="0.2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</row>
    <row r="362" spans="1:28" ht="14.25" customHeight="1" x14ac:dyDescent="0.2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</row>
    <row r="363" spans="1:28" ht="14.25" customHeight="1" x14ac:dyDescent="0.2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</row>
    <row r="364" spans="1:28" ht="14.25" customHeight="1" x14ac:dyDescent="0.2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</row>
    <row r="365" spans="1:28" ht="14.25" customHeight="1" x14ac:dyDescent="0.2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</row>
    <row r="366" spans="1:28" ht="14.25" customHeight="1" x14ac:dyDescent="0.2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</row>
    <row r="367" spans="1:28" ht="14.25" customHeight="1" x14ac:dyDescent="0.2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</row>
    <row r="368" spans="1:28" ht="14.25" customHeight="1" x14ac:dyDescent="0.2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</row>
    <row r="369" spans="1:28" ht="14.25" customHeight="1" x14ac:dyDescent="0.2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</row>
    <row r="370" spans="1:28" ht="14.25" customHeight="1" x14ac:dyDescent="0.2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</row>
    <row r="371" spans="1:28" ht="14.25" customHeight="1" x14ac:dyDescent="0.2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</row>
    <row r="372" spans="1:28" ht="14.25" customHeight="1" x14ac:dyDescent="0.2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</row>
    <row r="373" spans="1:28" ht="14.25" customHeight="1" x14ac:dyDescent="0.2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</row>
    <row r="374" spans="1:28" ht="14.25" customHeight="1" x14ac:dyDescent="0.2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</row>
    <row r="375" spans="1:28" ht="14.25" customHeight="1" x14ac:dyDescent="0.2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</row>
    <row r="376" spans="1:28" ht="14.25" customHeight="1" x14ac:dyDescent="0.2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</row>
    <row r="377" spans="1:28" ht="14.25" customHeight="1" x14ac:dyDescent="0.2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</row>
    <row r="378" spans="1:28" ht="14.25" customHeight="1" x14ac:dyDescent="0.2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</row>
    <row r="379" spans="1:28" ht="14.25" customHeight="1" x14ac:dyDescent="0.2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</row>
    <row r="380" spans="1:28" ht="14.25" customHeight="1" x14ac:dyDescent="0.2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</row>
    <row r="381" spans="1:28" ht="14.25" customHeight="1" x14ac:dyDescent="0.2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</row>
    <row r="382" spans="1:28" ht="14.25" customHeight="1" x14ac:dyDescent="0.2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</row>
    <row r="383" spans="1:28" ht="14.25" customHeight="1" x14ac:dyDescent="0.2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</row>
    <row r="384" spans="1:28" ht="14.25" customHeight="1" x14ac:dyDescent="0.2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</row>
    <row r="385" spans="1:28" ht="14.25" customHeight="1" x14ac:dyDescent="0.2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</row>
    <row r="386" spans="1:28" ht="14.25" customHeight="1" x14ac:dyDescent="0.2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</row>
    <row r="387" spans="1:28" ht="14.25" customHeight="1" x14ac:dyDescent="0.2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</row>
    <row r="388" spans="1:28" ht="14.25" customHeight="1" x14ac:dyDescent="0.2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</row>
    <row r="389" spans="1:28" ht="14.25" customHeight="1" x14ac:dyDescent="0.2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</row>
    <row r="390" spans="1:28" ht="14.25" customHeight="1" x14ac:dyDescent="0.2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</row>
    <row r="391" spans="1:28" ht="14.25" customHeight="1" x14ac:dyDescent="0.2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</row>
    <row r="392" spans="1:28" ht="14.25" customHeight="1" x14ac:dyDescent="0.2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</row>
    <row r="393" spans="1:28" ht="14.25" customHeight="1" x14ac:dyDescent="0.2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</row>
    <row r="394" spans="1:28" ht="14.25" customHeight="1" x14ac:dyDescent="0.2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</row>
    <row r="395" spans="1:28" ht="14.25" customHeight="1" x14ac:dyDescent="0.2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</row>
    <row r="396" spans="1:28" ht="14.25" customHeight="1" x14ac:dyDescent="0.2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</row>
    <row r="397" spans="1:28" ht="14.25" customHeight="1" x14ac:dyDescent="0.2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</row>
    <row r="398" spans="1:28" ht="14.25" customHeight="1" x14ac:dyDescent="0.2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</row>
    <row r="399" spans="1:28" ht="14.25" customHeight="1" x14ac:dyDescent="0.2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</row>
    <row r="400" spans="1:28" ht="14.25" customHeight="1" x14ac:dyDescent="0.2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</row>
    <row r="401" spans="1:28" ht="14.25" customHeight="1" x14ac:dyDescent="0.2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</row>
    <row r="402" spans="1:28" ht="14.25" customHeight="1" x14ac:dyDescent="0.2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</row>
    <row r="403" spans="1:28" ht="14.25" customHeight="1" x14ac:dyDescent="0.2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</row>
    <row r="404" spans="1:28" ht="14.25" customHeight="1" x14ac:dyDescent="0.2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</row>
    <row r="405" spans="1:28" ht="14.25" customHeight="1" x14ac:dyDescent="0.2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</row>
    <row r="406" spans="1:28" ht="14.25" customHeight="1" x14ac:dyDescent="0.2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</row>
    <row r="407" spans="1:28" ht="14.25" customHeight="1" x14ac:dyDescent="0.2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</row>
    <row r="408" spans="1:28" ht="14.25" customHeight="1" x14ac:dyDescent="0.2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</row>
    <row r="409" spans="1:28" ht="14.25" customHeight="1" x14ac:dyDescent="0.2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</row>
    <row r="410" spans="1:28" ht="14.25" customHeight="1" x14ac:dyDescent="0.2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</row>
    <row r="411" spans="1:28" ht="14.25" customHeight="1" x14ac:dyDescent="0.2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</row>
    <row r="412" spans="1:28" ht="14.25" customHeight="1" x14ac:dyDescent="0.2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</row>
    <row r="413" spans="1:28" ht="14.25" customHeight="1" x14ac:dyDescent="0.2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</row>
    <row r="414" spans="1:28" ht="14.25" customHeight="1" x14ac:dyDescent="0.2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</row>
    <row r="415" spans="1:28" ht="14.25" customHeight="1" x14ac:dyDescent="0.2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</row>
    <row r="416" spans="1:28" ht="14.25" customHeight="1" x14ac:dyDescent="0.2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</row>
    <row r="417" spans="1:28" ht="14.25" customHeight="1" x14ac:dyDescent="0.2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</row>
    <row r="418" spans="1:28" ht="14.25" customHeight="1" x14ac:dyDescent="0.2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</row>
    <row r="419" spans="1:28" ht="14.25" customHeight="1" x14ac:dyDescent="0.2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</row>
    <row r="420" spans="1:28" ht="14.25" customHeight="1" x14ac:dyDescent="0.2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</row>
    <row r="421" spans="1:28" ht="14.25" customHeight="1" x14ac:dyDescent="0.2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</row>
    <row r="422" spans="1:28" ht="14.25" customHeight="1" x14ac:dyDescent="0.2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</row>
    <row r="423" spans="1:28" ht="14.25" customHeight="1" x14ac:dyDescent="0.2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</row>
    <row r="424" spans="1:28" ht="14.25" customHeight="1" x14ac:dyDescent="0.2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</row>
    <row r="425" spans="1:28" ht="14.25" customHeight="1" x14ac:dyDescent="0.2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</row>
    <row r="426" spans="1:28" ht="14.25" customHeight="1" x14ac:dyDescent="0.2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</row>
    <row r="427" spans="1:28" ht="14.25" customHeight="1" x14ac:dyDescent="0.2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</row>
    <row r="428" spans="1:28" ht="14.25" customHeight="1" x14ac:dyDescent="0.2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</row>
    <row r="429" spans="1:28" ht="14.25" customHeight="1" x14ac:dyDescent="0.2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</row>
    <row r="430" spans="1:28" ht="14.25" customHeight="1" x14ac:dyDescent="0.2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</row>
    <row r="431" spans="1:28" ht="14.25" customHeight="1" x14ac:dyDescent="0.2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</row>
    <row r="432" spans="1:28" ht="14.25" customHeight="1" x14ac:dyDescent="0.2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</row>
    <row r="433" spans="1:28" ht="14.25" customHeight="1" x14ac:dyDescent="0.2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</row>
    <row r="434" spans="1:28" ht="14.25" customHeight="1" x14ac:dyDescent="0.2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</row>
    <row r="435" spans="1:28" ht="14.25" customHeight="1" x14ac:dyDescent="0.2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</row>
    <row r="436" spans="1:28" ht="14.25" customHeight="1" x14ac:dyDescent="0.2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</row>
    <row r="437" spans="1:28" ht="14.25" customHeight="1" x14ac:dyDescent="0.2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</row>
    <row r="438" spans="1:28" ht="14.25" customHeight="1" x14ac:dyDescent="0.2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</row>
    <row r="439" spans="1:28" ht="14.25" customHeight="1" x14ac:dyDescent="0.2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</row>
    <row r="440" spans="1:28" ht="14.25" customHeight="1" x14ac:dyDescent="0.2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</row>
    <row r="441" spans="1:28" ht="14.25" customHeight="1" x14ac:dyDescent="0.2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</row>
    <row r="442" spans="1:28" ht="14.25" customHeight="1" x14ac:dyDescent="0.2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</row>
    <row r="443" spans="1:28" ht="14.25" customHeight="1" x14ac:dyDescent="0.2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</row>
    <row r="444" spans="1:28" ht="14.25" customHeight="1" x14ac:dyDescent="0.2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</row>
    <row r="445" spans="1:28" ht="14.25" customHeight="1" x14ac:dyDescent="0.2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</row>
    <row r="446" spans="1:28" ht="14.25" customHeight="1" x14ac:dyDescent="0.2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</row>
    <row r="447" spans="1:28" ht="14.25" customHeight="1" x14ac:dyDescent="0.2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</row>
    <row r="448" spans="1:28" ht="14.25" customHeight="1" x14ac:dyDescent="0.2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</row>
    <row r="449" spans="1:28" ht="14.25" customHeight="1" x14ac:dyDescent="0.2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</row>
    <row r="450" spans="1:28" ht="14.25" customHeight="1" x14ac:dyDescent="0.2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</row>
    <row r="451" spans="1:28" ht="14.25" customHeight="1" x14ac:dyDescent="0.2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</row>
    <row r="452" spans="1:28" ht="14.25" customHeight="1" x14ac:dyDescent="0.2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</row>
    <row r="453" spans="1:28" ht="14.25" customHeight="1" x14ac:dyDescent="0.2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</row>
    <row r="454" spans="1:28" ht="14.25" customHeight="1" x14ac:dyDescent="0.2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</row>
    <row r="455" spans="1:28" ht="14.25" customHeight="1" x14ac:dyDescent="0.2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</row>
    <row r="456" spans="1:28" ht="14.25" customHeight="1" x14ac:dyDescent="0.2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</row>
    <row r="457" spans="1:28" ht="14.25" customHeight="1" x14ac:dyDescent="0.2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</row>
    <row r="458" spans="1:28" ht="14.25" customHeight="1" x14ac:dyDescent="0.2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</row>
    <row r="459" spans="1:28" ht="14.25" customHeight="1" x14ac:dyDescent="0.2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</row>
    <row r="460" spans="1:28" ht="14.25" customHeight="1" x14ac:dyDescent="0.2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</row>
    <row r="461" spans="1:28" ht="14.25" customHeight="1" x14ac:dyDescent="0.2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</row>
    <row r="462" spans="1:28" ht="14.25" customHeight="1" x14ac:dyDescent="0.2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</row>
    <row r="463" spans="1:28" ht="14.25" customHeight="1" x14ac:dyDescent="0.2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</row>
    <row r="464" spans="1:28" ht="14.25" customHeight="1" x14ac:dyDescent="0.2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</row>
    <row r="465" spans="1:28" ht="14.25" customHeight="1" x14ac:dyDescent="0.2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</row>
    <row r="466" spans="1:28" ht="14.25" customHeight="1" x14ac:dyDescent="0.2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</row>
    <row r="467" spans="1:28" ht="14.25" customHeight="1" x14ac:dyDescent="0.2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</row>
    <row r="468" spans="1:28" ht="14.25" customHeight="1" x14ac:dyDescent="0.2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</row>
    <row r="469" spans="1:28" ht="14.25" customHeight="1" x14ac:dyDescent="0.2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</row>
    <row r="470" spans="1:28" ht="14.25" customHeight="1" x14ac:dyDescent="0.2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</row>
    <row r="471" spans="1:28" ht="14.25" customHeight="1" x14ac:dyDescent="0.2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</row>
    <row r="472" spans="1:28" ht="14.25" customHeight="1" x14ac:dyDescent="0.2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</row>
    <row r="473" spans="1:28" ht="14.25" customHeight="1" x14ac:dyDescent="0.2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</row>
    <row r="474" spans="1:28" ht="14.25" customHeight="1" x14ac:dyDescent="0.2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</row>
    <row r="475" spans="1:28" ht="14.25" customHeight="1" x14ac:dyDescent="0.2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</row>
    <row r="476" spans="1:28" ht="14.25" customHeight="1" x14ac:dyDescent="0.2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</row>
    <row r="477" spans="1:28" ht="14.25" customHeight="1" x14ac:dyDescent="0.2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</row>
    <row r="478" spans="1:28" ht="14.25" customHeight="1" x14ac:dyDescent="0.2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</row>
    <row r="479" spans="1:28" ht="14.25" customHeight="1" x14ac:dyDescent="0.2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</row>
    <row r="480" spans="1:28" ht="14.25" customHeight="1" x14ac:dyDescent="0.2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</row>
    <row r="481" spans="1:28" ht="14.25" customHeight="1" x14ac:dyDescent="0.2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</row>
    <row r="482" spans="1:28" ht="14.25" customHeight="1" x14ac:dyDescent="0.2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</row>
    <row r="483" spans="1:28" ht="14.25" customHeight="1" x14ac:dyDescent="0.2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</row>
    <row r="484" spans="1:28" ht="14.25" customHeight="1" x14ac:dyDescent="0.2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</row>
    <row r="485" spans="1:28" ht="14.25" customHeight="1" x14ac:dyDescent="0.2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</row>
    <row r="486" spans="1:28" ht="14.25" customHeight="1" x14ac:dyDescent="0.2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</row>
    <row r="487" spans="1:28" ht="14.25" customHeight="1" x14ac:dyDescent="0.2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</row>
    <row r="488" spans="1:28" ht="14.25" customHeight="1" x14ac:dyDescent="0.2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</row>
    <row r="489" spans="1:28" ht="14.25" customHeight="1" x14ac:dyDescent="0.2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</row>
    <row r="490" spans="1:28" ht="14.25" customHeight="1" x14ac:dyDescent="0.2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</row>
    <row r="491" spans="1:28" ht="14.25" customHeight="1" x14ac:dyDescent="0.2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</row>
    <row r="492" spans="1:28" ht="14.25" customHeight="1" x14ac:dyDescent="0.2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</row>
    <row r="493" spans="1:28" ht="14.25" customHeight="1" x14ac:dyDescent="0.2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</row>
    <row r="494" spans="1:28" ht="14.25" customHeight="1" x14ac:dyDescent="0.2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</row>
    <row r="495" spans="1:28" ht="14.25" customHeight="1" x14ac:dyDescent="0.2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</row>
    <row r="496" spans="1:28" ht="14.25" customHeight="1" x14ac:dyDescent="0.2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</row>
    <row r="497" spans="1:28" ht="14.25" customHeight="1" x14ac:dyDescent="0.2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</row>
    <row r="498" spans="1:28" ht="14.25" customHeight="1" x14ac:dyDescent="0.2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</row>
    <row r="499" spans="1:28" ht="14.25" customHeight="1" x14ac:dyDescent="0.2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</row>
    <row r="500" spans="1:28" ht="14.25" customHeight="1" x14ac:dyDescent="0.2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</row>
    <row r="501" spans="1:28" ht="14.25" customHeight="1" x14ac:dyDescent="0.2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</row>
    <row r="502" spans="1:28" ht="14.25" customHeight="1" x14ac:dyDescent="0.2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</row>
    <row r="503" spans="1:28" ht="14.25" customHeight="1" x14ac:dyDescent="0.2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</row>
    <row r="504" spans="1:28" ht="14.25" customHeight="1" x14ac:dyDescent="0.2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</row>
    <row r="505" spans="1:28" ht="14.25" customHeight="1" x14ac:dyDescent="0.2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</row>
    <row r="506" spans="1:28" ht="14.25" customHeight="1" x14ac:dyDescent="0.2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</row>
    <row r="507" spans="1:28" ht="14.25" customHeight="1" x14ac:dyDescent="0.2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</row>
    <row r="508" spans="1:28" ht="14.25" customHeight="1" x14ac:dyDescent="0.2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</row>
    <row r="509" spans="1:28" ht="14.25" customHeight="1" x14ac:dyDescent="0.2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</row>
    <row r="510" spans="1:28" ht="14.25" customHeight="1" x14ac:dyDescent="0.2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</row>
    <row r="511" spans="1:28" ht="14.25" customHeight="1" x14ac:dyDescent="0.2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</row>
    <row r="512" spans="1:28" ht="14.25" customHeight="1" x14ac:dyDescent="0.2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</row>
    <row r="513" spans="1:28" ht="14.25" customHeight="1" x14ac:dyDescent="0.2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</row>
    <row r="514" spans="1:28" ht="14.25" customHeight="1" x14ac:dyDescent="0.2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</row>
    <row r="515" spans="1:28" ht="14.25" customHeight="1" x14ac:dyDescent="0.2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</row>
    <row r="516" spans="1:28" ht="14.25" customHeight="1" x14ac:dyDescent="0.2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</row>
    <row r="517" spans="1:28" ht="14.25" customHeight="1" x14ac:dyDescent="0.2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</row>
    <row r="518" spans="1:28" ht="14.25" customHeight="1" x14ac:dyDescent="0.2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</row>
    <row r="519" spans="1:28" ht="14.25" customHeight="1" x14ac:dyDescent="0.2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</row>
    <row r="520" spans="1:28" ht="14.25" customHeight="1" x14ac:dyDescent="0.2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</row>
    <row r="521" spans="1:28" ht="14.25" customHeight="1" x14ac:dyDescent="0.2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</row>
    <row r="522" spans="1:28" ht="14.25" customHeight="1" x14ac:dyDescent="0.2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</row>
    <row r="523" spans="1:28" ht="14.25" customHeight="1" x14ac:dyDescent="0.2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</row>
    <row r="524" spans="1:28" ht="14.25" customHeight="1" x14ac:dyDescent="0.2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</row>
    <row r="525" spans="1:28" ht="14.25" customHeight="1" x14ac:dyDescent="0.2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</row>
    <row r="526" spans="1:28" ht="14.25" customHeight="1" x14ac:dyDescent="0.2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</row>
    <row r="527" spans="1:28" ht="14.25" customHeight="1" x14ac:dyDescent="0.2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</row>
    <row r="528" spans="1:28" ht="14.25" customHeight="1" x14ac:dyDescent="0.2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</row>
    <row r="529" spans="1:28" ht="14.25" customHeight="1" x14ac:dyDescent="0.2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</row>
    <row r="530" spans="1:28" ht="14.25" customHeight="1" x14ac:dyDescent="0.2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</row>
    <row r="531" spans="1:28" ht="14.25" customHeight="1" x14ac:dyDescent="0.2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</row>
    <row r="532" spans="1:28" ht="14.25" customHeight="1" x14ac:dyDescent="0.2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</row>
    <row r="533" spans="1:28" ht="14.25" customHeight="1" x14ac:dyDescent="0.2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</row>
    <row r="534" spans="1:28" ht="14.25" customHeight="1" x14ac:dyDescent="0.2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</row>
    <row r="535" spans="1:28" ht="14.25" customHeight="1" x14ac:dyDescent="0.2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</row>
    <row r="536" spans="1:28" ht="14.25" customHeight="1" x14ac:dyDescent="0.2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</row>
    <row r="537" spans="1:28" ht="14.25" customHeight="1" x14ac:dyDescent="0.2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</row>
    <row r="538" spans="1:28" ht="14.25" customHeight="1" x14ac:dyDescent="0.2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</row>
    <row r="539" spans="1:28" ht="14.25" customHeight="1" x14ac:dyDescent="0.2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</row>
    <row r="540" spans="1:28" ht="14.25" customHeight="1" x14ac:dyDescent="0.2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</row>
    <row r="541" spans="1:28" ht="14.25" customHeight="1" x14ac:dyDescent="0.2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</row>
    <row r="542" spans="1:28" ht="14.25" customHeight="1" x14ac:dyDescent="0.2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</row>
    <row r="543" spans="1:28" ht="14.25" customHeight="1" x14ac:dyDescent="0.2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</row>
    <row r="544" spans="1:28" ht="14.25" customHeight="1" x14ac:dyDescent="0.2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</row>
    <row r="545" spans="1:28" ht="14.25" customHeight="1" x14ac:dyDescent="0.2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</row>
    <row r="546" spans="1:28" ht="14.25" customHeight="1" x14ac:dyDescent="0.2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</row>
    <row r="547" spans="1:28" ht="14.25" customHeight="1" x14ac:dyDescent="0.2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</row>
    <row r="548" spans="1:28" ht="14.25" customHeight="1" x14ac:dyDescent="0.2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</row>
    <row r="549" spans="1:28" ht="14.25" customHeight="1" x14ac:dyDescent="0.2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</row>
    <row r="550" spans="1:28" ht="14.25" customHeight="1" x14ac:dyDescent="0.2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</row>
    <row r="551" spans="1:28" ht="14.25" customHeight="1" x14ac:dyDescent="0.2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</row>
    <row r="552" spans="1:28" ht="14.25" customHeight="1" x14ac:dyDescent="0.2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</row>
    <row r="553" spans="1:28" ht="14.25" customHeight="1" x14ac:dyDescent="0.2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</row>
    <row r="554" spans="1:28" ht="14.25" customHeight="1" x14ac:dyDescent="0.2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</row>
    <row r="555" spans="1:28" ht="14.25" customHeight="1" x14ac:dyDescent="0.2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</row>
    <row r="556" spans="1:28" ht="14.25" customHeight="1" x14ac:dyDescent="0.2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</row>
    <row r="557" spans="1:28" ht="14.25" customHeight="1" x14ac:dyDescent="0.2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</row>
    <row r="558" spans="1:28" ht="14.25" customHeight="1" x14ac:dyDescent="0.2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</row>
    <row r="559" spans="1:28" ht="14.25" customHeight="1" x14ac:dyDescent="0.2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</row>
    <row r="560" spans="1:28" ht="14.25" customHeight="1" x14ac:dyDescent="0.2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</row>
    <row r="561" spans="1:28" ht="14.25" customHeight="1" x14ac:dyDescent="0.2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</row>
    <row r="562" spans="1:28" ht="14.25" customHeight="1" x14ac:dyDescent="0.2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</row>
    <row r="563" spans="1:28" ht="14.25" customHeight="1" x14ac:dyDescent="0.2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</row>
    <row r="564" spans="1:28" ht="14.25" customHeight="1" x14ac:dyDescent="0.2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</row>
    <row r="565" spans="1:28" ht="14.25" customHeight="1" x14ac:dyDescent="0.2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</row>
    <row r="566" spans="1:28" ht="14.25" customHeight="1" x14ac:dyDescent="0.2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</row>
    <row r="567" spans="1:28" ht="14.25" customHeight="1" x14ac:dyDescent="0.2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</row>
    <row r="568" spans="1:28" ht="14.25" customHeight="1" x14ac:dyDescent="0.2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</row>
    <row r="569" spans="1:28" ht="14.25" customHeight="1" x14ac:dyDescent="0.2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</row>
    <row r="570" spans="1:28" ht="14.25" customHeight="1" x14ac:dyDescent="0.2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</row>
    <row r="571" spans="1:28" ht="14.25" customHeight="1" x14ac:dyDescent="0.2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</row>
    <row r="572" spans="1:28" ht="14.25" customHeight="1" x14ac:dyDescent="0.2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</row>
    <row r="573" spans="1:28" ht="14.25" customHeight="1" x14ac:dyDescent="0.2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</row>
    <row r="574" spans="1:28" ht="14.25" customHeight="1" x14ac:dyDescent="0.2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</row>
    <row r="575" spans="1:28" ht="14.25" customHeight="1" x14ac:dyDescent="0.2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</row>
    <row r="576" spans="1:28" ht="14.25" customHeight="1" x14ac:dyDescent="0.2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</row>
    <row r="577" spans="1:28" ht="14.25" customHeight="1" x14ac:dyDescent="0.2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</row>
    <row r="578" spans="1:28" ht="14.25" customHeight="1" x14ac:dyDescent="0.2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</row>
    <row r="579" spans="1:28" ht="14.25" customHeight="1" x14ac:dyDescent="0.2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</row>
    <row r="580" spans="1:28" ht="14.25" customHeight="1" x14ac:dyDescent="0.2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</row>
    <row r="581" spans="1:28" ht="14.25" customHeight="1" x14ac:dyDescent="0.2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</row>
    <row r="582" spans="1:28" ht="14.25" customHeight="1" x14ac:dyDescent="0.2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</row>
    <row r="583" spans="1:28" ht="14.25" customHeight="1" x14ac:dyDescent="0.2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</row>
    <row r="584" spans="1:28" ht="14.25" customHeight="1" x14ac:dyDescent="0.2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</row>
    <row r="585" spans="1:28" ht="14.25" customHeight="1" x14ac:dyDescent="0.2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</row>
    <row r="586" spans="1:28" ht="14.25" customHeight="1" x14ac:dyDescent="0.2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</row>
    <row r="587" spans="1:28" ht="14.25" customHeight="1" x14ac:dyDescent="0.2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</row>
    <row r="588" spans="1:28" ht="14.25" customHeight="1" x14ac:dyDescent="0.2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</row>
    <row r="589" spans="1:28" ht="14.25" customHeight="1" x14ac:dyDescent="0.2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</row>
    <row r="590" spans="1:28" ht="14.25" customHeight="1" x14ac:dyDescent="0.2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</row>
    <row r="591" spans="1:28" ht="14.25" customHeight="1" x14ac:dyDescent="0.2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</row>
    <row r="592" spans="1:28" ht="14.25" customHeight="1" x14ac:dyDescent="0.2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</row>
    <row r="593" spans="1:28" ht="14.25" customHeight="1" x14ac:dyDescent="0.2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</row>
    <row r="594" spans="1:28" ht="14.25" customHeight="1" x14ac:dyDescent="0.2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</row>
    <row r="595" spans="1:28" ht="14.25" customHeight="1" x14ac:dyDescent="0.2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</row>
    <row r="596" spans="1:28" ht="14.25" customHeight="1" x14ac:dyDescent="0.2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</row>
    <row r="597" spans="1:28" ht="14.25" customHeight="1" x14ac:dyDescent="0.2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</row>
    <row r="598" spans="1:28" ht="14.25" customHeight="1" x14ac:dyDescent="0.2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</row>
    <row r="599" spans="1:28" ht="14.25" customHeight="1" x14ac:dyDescent="0.2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</row>
    <row r="600" spans="1:28" ht="14.25" customHeight="1" x14ac:dyDescent="0.2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</row>
    <row r="601" spans="1:28" ht="14.25" customHeight="1" x14ac:dyDescent="0.2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</row>
    <row r="602" spans="1:28" ht="14.25" customHeight="1" x14ac:dyDescent="0.2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</row>
    <row r="603" spans="1:28" ht="14.25" customHeight="1" x14ac:dyDescent="0.2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</row>
    <row r="604" spans="1:28" ht="14.25" customHeight="1" x14ac:dyDescent="0.2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</row>
    <row r="605" spans="1:28" ht="14.25" customHeight="1" x14ac:dyDescent="0.2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</row>
    <row r="606" spans="1:28" ht="14.25" customHeight="1" x14ac:dyDescent="0.2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</row>
    <row r="607" spans="1:28" ht="14.25" customHeight="1" x14ac:dyDescent="0.2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</row>
    <row r="608" spans="1:28" ht="14.25" customHeight="1" x14ac:dyDescent="0.2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</row>
    <row r="609" spans="1:28" ht="14.25" customHeight="1" x14ac:dyDescent="0.2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</row>
    <row r="610" spans="1:28" ht="14.25" customHeight="1" x14ac:dyDescent="0.2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</row>
    <row r="611" spans="1:28" ht="14.25" customHeight="1" x14ac:dyDescent="0.2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</row>
    <row r="612" spans="1:28" ht="14.25" customHeight="1" x14ac:dyDescent="0.2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</row>
    <row r="613" spans="1:28" ht="14.25" customHeight="1" x14ac:dyDescent="0.2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</row>
    <row r="614" spans="1:28" ht="14.25" customHeight="1" x14ac:dyDescent="0.2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</row>
    <row r="615" spans="1:28" ht="14.25" customHeight="1" x14ac:dyDescent="0.2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</row>
    <row r="616" spans="1:28" ht="14.25" customHeight="1" x14ac:dyDescent="0.2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</row>
    <row r="617" spans="1:28" ht="14.25" customHeight="1" x14ac:dyDescent="0.2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</row>
    <row r="618" spans="1:28" ht="14.25" customHeight="1" x14ac:dyDescent="0.2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</row>
    <row r="619" spans="1:28" ht="14.25" customHeight="1" x14ac:dyDescent="0.2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</row>
    <row r="620" spans="1:28" ht="14.25" customHeight="1" x14ac:dyDescent="0.2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</row>
    <row r="621" spans="1:28" ht="14.25" customHeight="1" x14ac:dyDescent="0.2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</row>
    <row r="622" spans="1:28" ht="14.25" customHeight="1" x14ac:dyDescent="0.2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</row>
    <row r="623" spans="1:28" ht="14.25" customHeight="1" x14ac:dyDescent="0.2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</row>
    <row r="624" spans="1:28" ht="14.25" customHeight="1" x14ac:dyDescent="0.2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</row>
    <row r="625" spans="1:28" ht="14.25" customHeight="1" x14ac:dyDescent="0.2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</row>
    <row r="626" spans="1:28" ht="14.25" customHeight="1" x14ac:dyDescent="0.2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</row>
    <row r="627" spans="1:28" ht="14.25" customHeight="1" x14ac:dyDescent="0.2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</row>
    <row r="628" spans="1:28" ht="14.25" customHeight="1" x14ac:dyDescent="0.2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</row>
    <row r="629" spans="1:28" ht="14.25" customHeight="1" x14ac:dyDescent="0.2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</row>
    <row r="630" spans="1:28" ht="14.25" customHeight="1" x14ac:dyDescent="0.2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</row>
    <row r="631" spans="1:28" ht="14.25" customHeight="1" x14ac:dyDescent="0.2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</row>
    <row r="632" spans="1:28" ht="14.25" customHeight="1" x14ac:dyDescent="0.2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</row>
    <row r="633" spans="1:28" ht="14.25" customHeight="1" x14ac:dyDescent="0.2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</row>
    <row r="634" spans="1:28" ht="14.25" customHeight="1" x14ac:dyDescent="0.2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</row>
    <row r="635" spans="1:28" ht="14.25" customHeight="1" x14ac:dyDescent="0.2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</row>
    <row r="636" spans="1:28" ht="14.25" customHeight="1" x14ac:dyDescent="0.2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</row>
    <row r="637" spans="1:28" ht="14.25" customHeight="1" x14ac:dyDescent="0.2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</row>
    <row r="638" spans="1:28" ht="14.25" customHeight="1" x14ac:dyDescent="0.2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</row>
    <row r="639" spans="1:28" ht="14.25" customHeight="1" x14ac:dyDescent="0.2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</row>
    <row r="640" spans="1:28" ht="14.25" customHeight="1" x14ac:dyDescent="0.2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</row>
    <row r="641" spans="1:28" ht="14.25" customHeight="1" x14ac:dyDescent="0.2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</row>
    <row r="642" spans="1:28" ht="14.25" customHeight="1" x14ac:dyDescent="0.2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</row>
    <row r="643" spans="1:28" ht="14.25" customHeight="1" x14ac:dyDescent="0.2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</row>
    <row r="644" spans="1:28" ht="14.25" customHeight="1" x14ac:dyDescent="0.2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</row>
    <row r="645" spans="1:28" ht="14.25" customHeight="1" x14ac:dyDescent="0.2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</row>
    <row r="646" spans="1:28" ht="14.25" customHeight="1" x14ac:dyDescent="0.2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</row>
    <row r="647" spans="1:28" ht="14.25" customHeight="1" x14ac:dyDescent="0.2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</row>
    <row r="648" spans="1:28" ht="14.25" customHeight="1" x14ac:dyDescent="0.2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</row>
    <row r="649" spans="1:28" ht="14.25" customHeight="1" x14ac:dyDescent="0.2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</row>
    <row r="650" spans="1:28" ht="14.25" customHeight="1" x14ac:dyDescent="0.2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</row>
    <row r="651" spans="1:28" ht="14.25" customHeight="1" x14ac:dyDescent="0.2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</row>
    <row r="652" spans="1:28" ht="14.25" customHeight="1" x14ac:dyDescent="0.2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</row>
    <row r="653" spans="1:28" ht="14.25" customHeight="1" x14ac:dyDescent="0.2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</row>
    <row r="654" spans="1:28" ht="14.25" customHeight="1" x14ac:dyDescent="0.2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</row>
    <row r="655" spans="1:28" ht="14.25" customHeight="1" x14ac:dyDescent="0.2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</row>
    <row r="656" spans="1:28" ht="14.25" customHeight="1" x14ac:dyDescent="0.2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</row>
    <row r="657" spans="1:28" ht="14.25" customHeight="1" x14ac:dyDescent="0.2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</row>
    <row r="658" spans="1:28" ht="14.25" customHeight="1" x14ac:dyDescent="0.2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</row>
    <row r="659" spans="1:28" ht="14.25" customHeight="1" x14ac:dyDescent="0.2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</row>
    <row r="660" spans="1:28" ht="14.25" customHeight="1" x14ac:dyDescent="0.2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</row>
    <row r="661" spans="1:28" ht="14.25" customHeight="1" x14ac:dyDescent="0.2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</row>
    <row r="662" spans="1:28" ht="14.25" customHeight="1" x14ac:dyDescent="0.2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</row>
    <row r="663" spans="1:28" ht="14.25" customHeight="1" x14ac:dyDescent="0.2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</row>
    <row r="664" spans="1:28" ht="14.25" customHeight="1" x14ac:dyDescent="0.2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</row>
    <row r="665" spans="1:28" ht="14.25" customHeight="1" x14ac:dyDescent="0.2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</row>
    <row r="666" spans="1:28" ht="14.25" customHeight="1" x14ac:dyDescent="0.2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</row>
    <row r="667" spans="1:28" ht="14.25" customHeight="1" x14ac:dyDescent="0.2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</row>
    <row r="668" spans="1:28" ht="14.25" customHeight="1" x14ac:dyDescent="0.2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</row>
    <row r="669" spans="1:28" ht="14.25" customHeight="1" x14ac:dyDescent="0.2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</row>
    <row r="670" spans="1:28" ht="14.25" customHeight="1" x14ac:dyDescent="0.2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</row>
    <row r="671" spans="1:28" ht="14.25" customHeight="1" x14ac:dyDescent="0.2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</row>
    <row r="672" spans="1:28" ht="14.25" customHeight="1" x14ac:dyDescent="0.2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</row>
    <row r="673" spans="1:28" ht="14.25" customHeight="1" x14ac:dyDescent="0.2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</row>
    <row r="674" spans="1:28" ht="14.25" customHeight="1" x14ac:dyDescent="0.2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</row>
    <row r="675" spans="1:28" ht="14.25" customHeight="1" x14ac:dyDescent="0.2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</row>
    <row r="676" spans="1:28" ht="14.25" customHeight="1" x14ac:dyDescent="0.2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</row>
    <row r="677" spans="1:28" ht="14.25" customHeight="1" x14ac:dyDescent="0.2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</row>
    <row r="678" spans="1:28" ht="14.25" customHeight="1" x14ac:dyDescent="0.2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</row>
    <row r="679" spans="1:28" ht="14.25" customHeight="1" x14ac:dyDescent="0.2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</row>
    <row r="680" spans="1:28" ht="14.25" customHeight="1" x14ac:dyDescent="0.2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</row>
    <row r="681" spans="1:28" ht="14.25" customHeight="1" x14ac:dyDescent="0.2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</row>
    <row r="682" spans="1:28" ht="14.25" customHeight="1" x14ac:dyDescent="0.2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</row>
    <row r="683" spans="1:28" ht="14.25" customHeight="1" x14ac:dyDescent="0.2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</row>
    <row r="684" spans="1:28" ht="14.25" customHeight="1" x14ac:dyDescent="0.2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</row>
    <row r="685" spans="1:28" ht="14.25" customHeight="1" x14ac:dyDescent="0.2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</row>
    <row r="686" spans="1:28" ht="14.25" customHeight="1" x14ac:dyDescent="0.2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</row>
    <row r="687" spans="1:28" ht="14.25" customHeight="1" x14ac:dyDescent="0.2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</row>
    <row r="688" spans="1:28" ht="14.25" customHeight="1" x14ac:dyDescent="0.2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</row>
    <row r="689" spans="1:28" ht="14.25" customHeight="1" x14ac:dyDescent="0.2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</row>
    <row r="690" spans="1:28" ht="14.25" customHeight="1" x14ac:dyDescent="0.2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</row>
    <row r="691" spans="1:28" ht="14.25" customHeight="1" x14ac:dyDescent="0.2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</row>
    <row r="692" spans="1:28" ht="14.25" customHeight="1" x14ac:dyDescent="0.2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</row>
    <row r="693" spans="1:28" ht="14.25" customHeight="1" x14ac:dyDescent="0.2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</row>
    <row r="694" spans="1:28" ht="14.25" customHeight="1" x14ac:dyDescent="0.2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</row>
    <row r="695" spans="1:28" ht="14.25" customHeight="1" x14ac:dyDescent="0.2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</row>
    <row r="696" spans="1:28" ht="14.25" customHeight="1" x14ac:dyDescent="0.2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</row>
    <row r="697" spans="1:28" ht="14.25" customHeight="1" x14ac:dyDescent="0.2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</row>
    <row r="698" spans="1:28" ht="14.25" customHeight="1" x14ac:dyDescent="0.2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</row>
    <row r="699" spans="1:28" ht="14.25" customHeight="1" x14ac:dyDescent="0.2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</row>
    <row r="700" spans="1:28" ht="14.25" customHeight="1" x14ac:dyDescent="0.2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</row>
    <row r="701" spans="1:28" ht="14.25" customHeight="1" x14ac:dyDescent="0.2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</row>
    <row r="702" spans="1:28" ht="14.25" customHeight="1" x14ac:dyDescent="0.2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</row>
    <row r="703" spans="1:28" ht="14.25" customHeight="1" x14ac:dyDescent="0.2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</row>
    <row r="704" spans="1:28" ht="14.25" customHeight="1" x14ac:dyDescent="0.2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</row>
    <row r="705" spans="1:28" ht="14.25" customHeight="1" x14ac:dyDescent="0.2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</row>
    <row r="706" spans="1:28" ht="14.25" customHeight="1" x14ac:dyDescent="0.2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</row>
    <row r="707" spans="1:28" ht="14.25" customHeight="1" x14ac:dyDescent="0.2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</row>
    <row r="708" spans="1:28" ht="14.25" customHeight="1" x14ac:dyDescent="0.2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</row>
    <row r="709" spans="1:28" ht="14.25" customHeight="1" x14ac:dyDescent="0.2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</row>
    <row r="710" spans="1:28" ht="14.25" customHeight="1" x14ac:dyDescent="0.2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</row>
    <row r="711" spans="1:28" ht="14.25" customHeight="1" x14ac:dyDescent="0.2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</row>
    <row r="712" spans="1:28" ht="14.25" customHeight="1" x14ac:dyDescent="0.2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</row>
    <row r="713" spans="1:28" ht="14.25" customHeight="1" x14ac:dyDescent="0.2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</row>
    <row r="714" spans="1:28" ht="14.25" customHeight="1" x14ac:dyDescent="0.2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</row>
    <row r="715" spans="1:28" ht="14.25" customHeight="1" x14ac:dyDescent="0.2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</row>
    <row r="716" spans="1:28" ht="14.25" customHeight="1" x14ac:dyDescent="0.2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</row>
    <row r="717" spans="1:28" ht="14.25" customHeight="1" x14ac:dyDescent="0.2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</row>
    <row r="718" spans="1:28" ht="14.25" customHeight="1" x14ac:dyDescent="0.2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</row>
    <row r="719" spans="1:28" ht="14.25" customHeight="1" x14ac:dyDescent="0.2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</row>
    <row r="720" spans="1:28" ht="14.25" customHeight="1" x14ac:dyDescent="0.2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</row>
    <row r="721" spans="1:28" ht="14.25" customHeight="1" x14ac:dyDescent="0.2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</row>
    <row r="722" spans="1:28" ht="14.25" customHeight="1" x14ac:dyDescent="0.2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</row>
    <row r="723" spans="1:28" ht="14.25" customHeight="1" x14ac:dyDescent="0.2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</row>
    <row r="724" spans="1:28" ht="14.25" customHeight="1" x14ac:dyDescent="0.2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</row>
    <row r="725" spans="1:28" ht="14.25" customHeight="1" x14ac:dyDescent="0.2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</row>
    <row r="726" spans="1:28" ht="14.25" customHeight="1" x14ac:dyDescent="0.2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</row>
    <row r="727" spans="1:28" ht="14.25" customHeight="1" x14ac:dyDescent="0.2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</row>
    <row r="728" spans="1:28" ht="14.25" customHeight="1" x14ac:dyDescent="0.2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</row>
    <row r="729" spans="1:28" ht="14.25" customHeight="1" x14ac:dyDescent="0.2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</row>
    <row r="730" spans="1:28" ht="14.25" customHeight="1" x14ac:dyDescent="0.2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</row>
    <row r="731" spans="1:28" ht="14.25" customHeight="1" x14ac:dyDescent="0.2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</row>
    <row r="732" spans="1:28" ht="14.25" customHeight="1" x14ac:dyDescent="0.2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</row>
    <row r="733" spans="1:28" ht="14.25" customHeight="1" x14ac:dyDescent="0.2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</row>
    <row r="734" spans="1:28" ht="14.25" customHeight="1" x14ac:dyDescent="0.2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</row>
    <row r="735" spans="1:28" ht="14.25" customHeight="1" x14ac:dyDescent="0.2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</row>
    <row r="736" spans="1:28" ht="14.25" customHeight="1" x14ac:dyDescent="0.2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</row>
    <row r="737" spans="1:28" ht="14.25" customHeight="1" x14ac:dyDescent="0.2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</row>
    <row r="738" spans="1:28" ht="14.25" customHeight="1" x14ac:dyDescent="0.2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</row>
    <row r="739" spans="1:28" ht="14.25" customHeight="1" x14ac:dyDescent="0.2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</row>
    <row r="740" spans="1:28" ht="14.25" customHeight="1" x14ac:dyDescent="0.2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</row>
    <row r="741" spans="1:28" ht="14.25" customHeight="1" x14ac:dyDescent="0.2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</row>
    <row r="742" spans="1:28" ht="14.25" customHeight="1" x14ac:dyDescent="0.2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</row>
    <row r="743" spans="1:28" ht="14.25" customHeight="1" x14ac:dyDescent="0.2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</row>
    <row r="744" spans="1:28" ht="14.25" customHeight="1" x14ac:dyDescent="0.2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</row>
    <row r="745" spans="1:28" ht="14.25" customHeight="1" x14ac:dyDescent="0.2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</row>
    <row r="746" spans="1:28" ht="14.25" customHeight="1" x14ac:dyDescent="0.2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</row>
    <row r="747" spans="1:28" ht="14.25" customHeight="1" x14ac:dyDescent="0.2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</row>
    <row r="748" spans="1:28" ht="14.25" customHeight="1" x14ac:dyDescent="0.2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</row>
    <row r="749" spans="1:28" ht="14.25" customHeight="1" x14ac:dyDescent="0.2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</row>
    <row r="750" spans="1:28" ht="14.25" customHeight="1" x14ac:dyDescent="0.2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</row>
    <row r="751" spans="1:28" ht="14.25" customHeight="1" x14ac:dyDescent="0.2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</row>
    <row r="752" spans="1:28" ht="14.25" customHeight="1" x14ac:dyDescent="0.2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</row>
    <row r="753" spans="1:28" ht="14.25" customHeight="1" x14ac:dyDescent="0.2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</row>
    <row r="754" spans="1:28" ht="14.25" customHeight="1" x14ac:dyDescent="0.2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</row>
    <row r="755" spans="1:28" ht="14.25" customHeight="1" x14ac:dyDescent="0.2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</row>
    <row r="756" spans="1:28" ht="14.25" customHeight="1" x14ac:dyDescent="0.2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</row>
    <row r="757" spans="1:28" ht="14.25" customHeight="1" x14ac:dyDescent="0.2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</row>
    <row r="758" spans="1:28" ht="14.25" customHeight="1" x14ac:dyDescent="0.2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</row>
    <row r="759" spans="1:28" ht="14.25" customHeight="1" x14ac:dyDescent="0.2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</row>
    <row r="760" spans="1:28" ht="14.25" customHeight="1" x14ac:dyDescent="0.2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</row>
    <row r="761" spans="1:28" ht="14.25" customHeight="1" x14ac:dyDescent="0.2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</row>
    <row r="762" spans="1:28" ht="14.25" customHeight="1" x14ac:dyDescent="0.2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</row>
    <row r="763" spans="1:28" ht="14.25" customHeight="1" x14ac:dyDescent="0.2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</row>
    <row r="764" spans="1:28" ht="14.25" customHeight="1" x14ac:dyDescent="0.2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</row>
    <row r="765" spans="1:28" ht="14.25" customHeight="1" x14ac:dyDescent="0.2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</row>
    <row r="766" spans="1:28" ht="14.25" customHeight="1" x14ac:dyDescent="0.2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</row>
    <row r="767" spans="1:28" ht="14.25" customHeight="1" x14ac:dyDescent="0.2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</row>
    <row r="768" spans="1:28" ht="14.25" customHeight="1" x14ac:dyDescent="0.2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</row>
    <row r="769" spans="1:28" ht="14.25" customHeight="1" x14ac:dyDescent="0.2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</row>
    <row r="770" spans="1:28" ht="14.25" customHeight="1" x14ac:dyDescent="0.2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</row>
    <row r="771" spans="1:28" ht="14.25" customHeight="1" x14ac:dyDescent="0.2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</row>
    <row r="772" spans="1:28" ht="14.25" customHeight="1" x14ac:dyDescent="0.2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</row>
    <row r="773" spans="1:28" ht="14.25" customHeight="1" x14ac:dyDescent="0.2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</row>
    <row r="774" spans="1:28" ht="14.25" customHeight="1" x14ac:dyDescent="0.2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</row>
    <row r="775" spans="1:28" ht="14.25" customHeight="1" x14ac:dyDescent="0.2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</row>
    <row r="776" spans="1:28" ht="14.25" customHeight="1" x14ac:dyDescent="0.2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</row>
    <row r="777" spans="1:28" ht="14.25" customHeight="1" x14ac:dyDescent="0.2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</row>
    <row r="778" spans="1:28" ht="14.25" customHeight="1" x14ac:dyDescent="0.2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</row>
    <row r="779" spans="1:28" ht="14.25" customHeight="1" x14ac:dyDescent="0.2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</row>
    <row r="780" spans="1:28" ht="14.25" customHeight="1" x14ac:dyDescent="0.2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</row>
    <row r="781" spans="1:28" ht="14.25" customHeight="1" x14ac:dyDescent="0.2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</row>
    <row r="782" spans="1:28" ht="14.25" customHeight="1" x14ac:dyDescent="0.2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</row>
    <row r="783" spans="1:28" ht="14.25" customHeight="1" x14ac:dyDescent="0.2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</row>
    <row r="784" spans="1:28" ht="14.25" customHeight="1" x14ac:dyDescent="0.2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</row>
    <row r="785" spans="1:28" ht="14.25" customHeight="1" x14ac:dyDescent="0.2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</row>
    <row r="786" spans="1:28" ht="14.25" customHeight="1" x14ac:dyDescent="0.2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</row>
    <row r="787" spans="1:28" ht="14.25" customHeight="1" x14ac:dyDescent="0.2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</row>
    <row r="788" spans="1:28" ht="14.25" customHeight="1" x14ac:dyDescent="0.2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</row>
    <row r="789" spans="1:28" ht="14.25" customHeight="1" x14ac:dyDescent="0.2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</row>
    <row r="790" spans="1:28" ht="14.25" customHeight="1" x14ac:dyDescent="0.2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</row>
    <row r="791" spans="1:28" ht="14.25" customHeight="1" x14ac:dyDescent="0.2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</row>
    <row r="792" spans="1:28" ht="14.25" customHeight="1" x14ac:dyDescent="0.2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</row>
    <row r="793" spans="1:28" ht="14.25" customHeight="1" x14ac:dyDescent="0.2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</row>
    <row r="794" spans="1:28" ht="14.25" customHeight="1" x14ac:dyDescent="0.2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</row>
    <row r="795" spans="1:28" ht="14.25" customHeight="1" x14ac:dyDescent="0.2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</row>
    <row r="796" spans="1:28" ht="14.25" customHeight="1" x14ac:dyDescent="0.2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</row>
    <row r="797" spans="1:28" ht="14.25" customHeight="1" x14ac:dyDescent="0.2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</row>
    <row r="798" spans="1:28" ht="14.25" customHeight="1" x14ac:dyDescent="0.2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</row>
    <row r="799" spans="1:28" ht="14.25" customHeight="1" x14ac:dyDescent="0.2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</row>
    <row r="800" spans="1:28" ht="14.25" customHeight="1" x14ac:dyDescent="0.2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</row>
    <row r="801" spans="1:28" ht="14.25" customHeight="1" x14ac:dyDescent="0.2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</row>
    <row r="802" spans="1:28" ht="14.25" customHeight="1" x14ac:dyDescent="0.2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</row>
    <row r="803" spans="1:28" ht="14.25" customHeight="1" x14ac:dyDescent="0.2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</row>
    <row r="804" spans="1:28" ht="14.25" customHeight="1" x14ac:dyDescent="0.2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</row>
    <row r="805" spans="1:28" ht="14.25" customHeight="1" x14ac:dyDescent="0.2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</row>
    <row r="806" spans="1:28" ht="14.25" customHeight="1" x14ac:dyDescent="0.2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</row>
    <row r="807" spans="1:28" ht="14.25" customHeight="1" x14ac:dyDescent="0.2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</row>
    <row r="808" spans="1:28" ht="14.25" customHeight="1" x14ac:dyDescent="0.2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</row>
    <row r="809" spans="1:28" ht="14.25" customHeight="1" x14ac:dyDescent="0.2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</row>
    <row r="810" spans="1:28" ht="14.25" customHeight="1" x14ac:dyDescent="0.2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</row>
    <row r="811" spans="1:28" ht="14.25" customHeight="1" x14ac:dyDescent="0.2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</row>
    <row r="812" spans="1:28" ht="14.25" customHeight="1" x14ac:dyDescent="0.2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</row>
    <row r="813" spans="1:28" ht="14.25" customHeight="1" x14ac:dyDescent="0.2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</row>
    <row r="814" spans="1:28" ht="14.25" customHeight="1" x14ac:dyDescent="0.2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</row>
    <row r="815" spans="1:28" ht="14.25" customHeight="1" x14ac:dyDescent="0.2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</row>
    <row r="816" spans="1:28" ht="14.25" customHeight="1" x14ac:dyDescent="0.2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</row>
    <row r="817" spans="1:28" ht="14.25" customHeight="1" x14ac:dyDescent="0.2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</row>
    <row r="818" spans="1:28" ht="14.25" customHeight="1" x14ac:dyDescent="0.2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</row>
    <row r="819" spans="1:28" ht="14.25" customHeight="1" x14ac:dyDescent="0.2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</row>
    <row r="820" spans="1:28" ht="14.25" customHeight="1" x14ac:dyDescent="0.2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</row>
    <row r="821" spans="1:28" ht="14.25" customHeight="1" x14ac:dyDescent="0.2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</row>
    <row r="822" spans="1:28" ht="14.25" customHeight="1" x14ac:dyDescent="0.2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</row>
    <row r="823" spans="1:28" ht="14.25" customHeight="1" x14ac:dyDescent="0.2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</row>
    <row r="824" spans="1:28" ht="14.25" customHeight="1" x14ac:dyDescent="0.2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</row>
    <row r="825" spans="1:28" ht="14.25" customHeight="1" x14ac:dyDescent="0.2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</row>
    <row r="826" spans="1:28" ht="14.25" customHeight="1" x14ac:dyDescent="0.2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</row>
    <row r="827" spans="1:28" ht="14.25" customHeight="1" x14ac:dyDescent="0.2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</row>
    <row r="828" spans="1:28" ht="14.25" customHeight="1" x14ac:dyDescent="0.2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</row>
    <row r="829" spans="1:28" ht="14.25" customHeight="1" x14ac:dyDescent="0.2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</row>
    <row r="830" spans="1:28" ht="14.25" customHeight="1" x14ac:dyDescent="0.2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</row>
    <row r="831" spans="1:28" ht="14.25" customHeight="1" x14ac:dyDescent="0.2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</row>
    <row r="832" spans="1:28" ht="14.25" customHeight="1" x14ac:dyDescent="0.2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</row>
    <row r="833" spans="1:28" ht="14.25" customHeight="1" x14ac:dyDescent="0.2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</row>
    <row r="834" spans="1:28" ht="14.25" customHeight="1" x14ac:dyDescent="0.2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</row>
    <row r="835" spans="1:28" ht="14.25" customHeight="1" x14ac:dyDescent="0.2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</row>
    <row r="836" spans="1:28" ht="14.25" customHeight="1" x14ac:dyDescent="0.2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</row>
    <row r="837" spans="1:28" ht="14.25" customHeight="1" x14ac:dyDescent="0.2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</row>
    <row r="838" spans="1:28" ht="14.25" customHeight="1" x14ac:dyDescent="0.2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</row>
    <row r="839" spans="1:28" ht="14.25" customHeight="1" x14ac:dyDescent="0.2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</row>
    <row r="840" spans="1:28" ht="14.25" customHeight="1" x14ac:dyDescent="0.2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</row>
    <row r="841" spans="1:28" ht="14.25" customHeight="1" x14ac:dyDescent="0.2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</row>
    <row r="842" spans="1:28" ht="14.25" customHeight="1" x14ac:dyDescent="0.2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</row>
    <row r="843" spans="1:28" ht="14.25" customHeight="1" x14ac:dyDescent="0.2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</row>
    <row r="844" spans="1:28" ht="14.25" customHeight="1" x14ac:dyDescent="0.2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</row>
    <row r="845" spans="1:28" ht="14.25" customHeight="1" x14ac:dyDescent="0.2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</row>
    <row r="846" spans="1:28" ht="14.25" customHeight="1" x14ac:dyDescent="0.2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</row>
    <row r="847" spans="1:28" ht="14.25" customHeight="1" x14ac:dyDescent="0.2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</row>
    <row r="848" spans="1:28" ht="14.25" customHeight="1" x14ac:dyDescent="0.2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</row>
    <row r="849" spans="1:28" ht="14.25" customHeight="1" x14ac:dyDescent="0.2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</row>
    <row r="850" spans="1:28" ht="14.25" customHeight="1" x14ac:dyDescent="0.2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</row>
    <row r="851" spans="1:28" ht="14.25" customHeight="1" x14ac:dyDescent="0.2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</row>
    <row r="852" spans="1:28" ht="14.25" customHeight="1" x14ac:dyDescent="0.2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</row>
    <row r="853" spans="1:28" ht="14.25" customHeight="1" x14ac:dyDescent="0.2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</row>
    <row r="854" spans="1:28" ht="14.25" customHeight="1" x14ac:dyDescent="0.2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</row>
    <row r="855" spans="1:28" ht="14.25" customHeight="1" x14ac:dyDescent="0.2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</row>
    <row r="856" spans="1:28" ht="14.25" customHeight="1" x14ac:dyDescent="0.2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</row>
    <row r="857" spans="1:28" ht="14.25" customHeight="1" x14ac:dyDescent="0.2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</row>
    <row r="858" spans="1:28" ht="14.25" customHeight="1" x14ac:dyDescent="0.2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</row>
    <row r="859" spans="1:28" ht="14.25" customHeight="1" x14ac:dyDescent="0.2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</row>
    <row r="860" spans="1:28" ht="14.25" customHeight="1" x14ac:dyDescent="0.2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</row>
    <row r="861" spans="1:28" ht="14.25" customHeight="1" x14ac:dyDescent="0.2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</row>
    <row r="862" spans="1:28" ht="14.25" customHeight="1" x14ac:dyDescent="0.2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</row>
    <row r="863" spans="1:28" ht="14.25" customHeight="1" x14ac:dyDescent="0.2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</row>
    <row r="864" spans="1:28" ht="14.25" customHeight="1" x14ac:dyDescent="0.2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</row>
    <row r="865" spans="1:28" ht="14.25" customHeight="1" x14ac:dyDescent="0.2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</row>
    <row r="866" spans="1:28" ht="14.25" customHeight="1" x14ac:dyDescent="0.2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</row>
    <row r="867" spans="1:28" ht="14.25" customHeight="1" x14ac:dyDescent="0.2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</row>
    <row r="868" spans="1:28" ht="14.25" customHeight="1" x14ac:dyDescent="0.2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</row>
    <row r="869" spans="1:28" ht="14.25" customHeight="1" x14ac:dyDescent="0.2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</row>
    <row r="870" spans="1:28" ht="14.25" customHeight="1" x14ac:dyDescent="0.2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</row>
    <row r="871" spans="1:28" ht="14.25" customHeight="1" x14ac:dyDescent="0.2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</row>
    <row r="872" spans="1:28" ht="14.25" customHeight="1" x14ac:dyDescent="0.2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</row>
    <row r="873" spans="1:28" ht="14.25" customHeight="1" x14ac:dyDescent="0.2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</row>
    <row r="874" spans="1:28" ht="14.25" customHeight="1" x14ac:dyDescent="0.2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</row>
    <row r="875" spans="1:28" ht="14.25" customHeight="1" x14ac:dyDescent="0.2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</row>
    <row r="876" spans="1:28" ht="14.25" customHeight="1" x14ac:dyDescent="0.2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</row>
    <row r="877" spans="1:28" ht="14.25" customHeight="1" x14ac:dyDescent="0.2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</row>
    <row r="878" spans="1:28" ht="14.25" customHeight="1" x14ac:dyDescent="0.2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</row>
    <row r="879" spans="1:28" ht="14.25" customHeight="1" x14ac:dyDescent="0.2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</row>
    <row r="880" spans="1:28" ht="14.25" customHeight="1" x14ac:dyDescent="0.2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</row>
    <row r="881" spans="1:28" ht="14.25" customHeight="1" x14ac:dyDescent="0.2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</row>
    <row r="882" spans="1:28" ht="14.25" customHeight="1" x14ac:dyDescent="0.2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</row>
    <row r="883" spans="1:28" ht="14.25" customHeight="1" x14ac:dyDescent="0.2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</row>
    <row r="884" spans="1:28" ht="14.25" customHeight="1" x14ac:dyDescent="0.2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</row>
    <row r="885" spans="1:28" ht="14.25" customHeight="1" x14ac:dyDescent="0.2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</row>
    <row r="886" spans="1:28" ht="14.25" customHeight="1" x14ac:dyDescent="0.2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</row>
    <row r="887" spans="1:28" ht="14.25" customHeight="1" x14ac:dyDescent="0.2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</row>
    <row r="888" spans="1:28" ht="14.25" customHeight="1" x14ac:dyDescent="0.2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</row>
    <row r="889" spans="1:28" ht="14.25" customHeight="1" x14ac:dyDescent="0.2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</row>
    <row r="890" spans="1:28" ht="14.25" customHeight="1" x14ac:dyDescent="0.2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</row>
    <row r="891" spans="1:28" ht="14.25" customHeight="1" x14ac:dyDescent="0.2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</row>
    <row r="892" spans="1:28" ht="14.25" customHeight="1" x14ac:dyDescent="0.2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</row>
    <row r="893" spans="1:28" ht="14.25" customHeight="1" x14ac:dyDescent="0.2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</row>
    <row r="894" spans="1:28" ht="14.25" customHeight="1" x14ac:dyDescent="0.2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</row>
    <row r="895" spans="1:28" ht="14.25" customHeight="1" x14ac:dyDescent="0.2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</row>
    <row r="896" spans="1:28" ht="14.25" customHeight="1" x14ac:dyDescent="0.2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</row>
    <row r="897" spans="1:28" ht="14.25" customHeight="1" x14ac:dyDescent="0.2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</row>
    <row r="898" spans="1:28" ht="14.25" customHeight="1" x14ac:dyDescent="0.2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</row>
    <row r="899" spans="1:28" ht="14.25" customHeight="1" x14ac:dyDescent="0.2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</row>
    <row r="900" spans="1:28" ht="14.25" customHeight="1" x14ac:dyDescent="0.2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</row>
    <row r="901" spans="1:28" ht="14.25" customHeight="1" x14ac:dyDescent="0.2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</row>
    <row r="902" spans="1:28" ht="14.25" customHeight="1" x14ac:dyDescent="0.2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</row>
    <row r="903" spans="1:28" ht="14.25" customHeight="1" x14ac:dyDescent="0.2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</row>
    <row r="904" spans="1:28" ht="14.25" customHeight="1" x14ac:dyDescent="0.2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</row>
    <row r="905" spans="1:28" ht="14.25" customHeight="1" x14ac:dyDescent="0.2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</row>
    <row r="906" spans="1:28" ht="14.25" customHeight="1" x14ac:dyDescent="0.2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</row>
    <row r="907" spans="1:28" ht="14.25" customHeight="1" x14ac:dyDescent="0.2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</row>
    <row r="908" spans="1:28" ht="14.25" customHeight="1" x14ac:dyDescent="0.2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</row>
    <row r="909" spans="1:28" ht="14.25" customHeight="1" x14ac:dyDescent="0.2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</row>
    <row r="910" spans="1:28" ht="14.25" customHeight="1" x14ac:dyDescent="0.2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</row>
    <row r="911" spans="1:28" ht="14.25" customHeight="1" x14ac:dyDescent="0.2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</row>
    <row r="912" spans="1:28" ht="14.25" customHeight="1" x14ac:dyDescent="0.2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</row>
    <row r="913" spans="1:28" ht="14.25" customHeight="1" x14ac:dyDescent="0.2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</row>
    <row r="914" spans="1:28" ht="14.25" customHeight="1" x14ac:dyDescent="0.2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</row>
    <row r="915" spans="1:28" ht="14.25" customHeight="1" x14ac:dyDescent="0.2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</row>
    <row r="916" spans="1:28" ht="14.25" customHeight="1" x14ac:dyDescent="0.2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</row>
    <row r="917" spans="1:28" ht="14.25" customHeight="1" x14ac:dyDescent="0.2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</row>
    <row r="918" spans="1:28" ht="14.25" customHeight="1" x14ac:dyDescent="0.2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</row>
    <row r="919" spans="1:28" ht="14.25" customHeight="1" x14ac:dyDescent="0.2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</row>
    <row r="920" spans="1:28" ht="14.25" customHeight="1" x14ac:dyDescent="0.2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</row>
    <row r="921" spans="1:28" ht="14.25" customHeight="1" x14ac:dyDescent="0.2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</row>
    <row r="922" spans="1:28" ht="14.25" customHeight="1" x14ac:dyDescent="0.2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</row>
    <row r="923" spans="1:28" ht="14.25" customHeight="1" x14ac:dyDescent="0.2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</row>
    <row r="924" spans="1:28" ht="14.25" customHeight="1" x14ac:dyDescent="0.2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</row>
    <row r="925" spans="1:28" ht="14.25" customHeight="1" x14ac:dyDescent="0.2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</row>
    <row r="926" spans="1:28" ht="14.25" customHeight="1" x14ac:dyDescent="0.2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</row>
    <row r="927" spans="1:28" ht="14.25" customHeight="1" x14ac:dyDescent="0.2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</row>
    <row r="928" spans="1:28" ht="14.25" customHeight="1" x14ac:dyDescent="0.2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</row>
    <row r="929" spans="1:28" ht="14.25" customHeight="1" x14ac:dyDescent="0.2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</row>
    <row r="930" spans="1:28" ht="14.25" customHeight="1" x14ac:dyDescent="0.2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</row>
    <row r="931" spans="1:28" ht="14.25" customHeight="1" x14ac:dyDescent="0.2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</row>
    <row r="932" spans="1:28" ht="14.25" customHeight="1" x14ac:dyDescent="0.2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</row>
    <row r="933" spans="1:28" ht="14.25" customHeight="1" x14ac:dyDescent="0.2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</row>
    <row r="934" spans="1:28" ht="14.25" customHeight="1" x14ac:dyDescent="0.2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</row>
    <row r="935" spans="1:28" ht="14.25" customHeight="1" x14ac:dyDescent="0.2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</row>
    <row r="936" spans="1:28" ht="14.25" customHeight="1" x14ac:dyDescent="0.2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</row>
    <row r="937" spans="1:28" ht="14.25" customHeight="1" x14ac:dyDescent="0.2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</row>
    <row r="938" spans="1:28" ht="14.25" customHeight="1" x14ac:dyDescent="0.2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</row>
    <row r="939" spans="1:28" ht="14.25" customHeight="1" x14ac:dyDescent="0.2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</row>
    <row r="940" spans="1:28" ht="14.25" customHeight="1" x14ac:dyDescent="0.2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</row>
    <row r="941" spans="1:28" ht="14.25" customHeight="1" x14ac:dyDescent="0.2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</row>
    <row r="942" spans="1:28" ht="14.25" customHeight="1" x14ac:dyDescent="0.2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</row>
    <row r="943" spans="1:28" ht="14.25" customHeight="1" x14ac:dyDescent="0.2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</row>
    <row r="944" spans="1:28" ht="14.25" customHeight="1" x14ac:dyDescent="0.2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</row>
    <row r="945" spans="1:28" ht="14.25" customHeight="1" x14ac:dyDescent="0.2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</row>
    <row r="946" spans="1:28" ht="14.25" customHeight="1" x14ac:dyDescent="0.2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</row>
    <row r="947" spans="1:28" ht="14.25" customHeight="1" x14ac:dyDescent="0.2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</row>
    <row r="948" spans="1:28" ht="14.25" customHeight="1" x14ac:dyDescent="0.2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</row>
    <row r="949" spans="1:28" ht="14.25" customHeight="1" x14ac:dyDescent="0.2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</row>
    <row r="950" spans="1:28" ht="14.25" customHeight="1" x14ac:dyDescent="0.2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</row>
    <row r="951" spans="1:28" ht="14.25" customHeight="1" x14ac:dyDescent="0.2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</row>
    <row r="952" spans="1:28" ht="14.25" customHeight="1" x14ac:dyDescent="0.2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</row>
    <row r="953" spans="1:28" ht="14.25" customHeight="1" x14ac:dyDescent="0.2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</row>
    <row r="954" spans="1:28" ht="14.25" customHeight="1" x14ac:dyDescent="0.2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</row>
    <row r="955" spans="1:28" ht="14.25" customHeight="1" x14ac:dyDescent="0.2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</row>
    <row r="956" spans="1:28" ht="14.25" customHeight="1" x14ac:dyDescent="0.2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</row>
    <row r="957" spans="1:28" ht="14.25" customHeight="1" x14ac:dyDescent="0.2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</row>
    <row r="958" spans="1:28" ht="14.25" customHeight="1" x14ac:dyDescent="0.2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</row>
    <row r="959" spans="1:28" ht="14.25" customHeight="1" x14ac:dyDescent="0.2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</row>
  </sheetData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92D050"/>
  </sheetPr>
  <dimension ref="A1:G959"/>
  <sheetViews>
    <sheetView workbookViewId="0"/>
  </sheetViews>
  <sheetFormatPr defaultColWidth="14.42578125" defaultRowHeight="15" customHeight="1" x14ac:dyDescent="0.25"/>
  <cols>
    <col min="1" max="1" width="9.140625" customWidth="1"/>
    <col min="2" max="2" width="14.140625" customWidth="1"/>
    <col min="3" max="7" width="8.85546875" customWidth="1"/>
    <col min="8" max="26" width="10" customWidth="1"/>
  </cols>
  <sheetData>
    <row r="1" spans="1:3" ht="72" customHeight="1" x14ac:dyDescent="0.25">
      <c r="A1" s="152" t="s">
        <v>38</v>
      </c>
      <c r="B1" s="159" t="s">
        <v>439</v>
      </c>
      <c r="C1" s="159" t="s">
        <v>442</v>
      </c>
    </row>
    <row r="2" spans="1:3" ht="15" customHeight="1" x14ac:dyDescent="0.4">
      <c r="A2" s="161" t="str">
        <f ca="1">IFERROR(__xludf.DUMMYFUNCTION("FILTER('NEST DATA '!A:A,'NEST DATA '!AM:AM=1)"),"1P")</f>
        <v>1P</v>
      </c>
      <c r="B2" s="108">
        <f ca="1">IFERROR(__xludf.DUMMYFUNCTION("FILTER('NEST DATA '!U:U,'NEST DATA '!AM:AM=1)"),113)</f>
        <v>113</v>
      </c>
      <c r="C2" s="108">
        <f ca="1">IFERROR(__xludf.DUMMYFUNCTION("FILTER('NEST DATA '!Y:Y,'NEST DATA '!AM:AM=1)"),0)</f>
        <v>0</v>
      </c>
    </row>
    <row r="3" spans="1:3" ht="15" customHeight="1" x14ac:dyDescent="0.25">
      <c r="A3" s="108" t="str">
        <f ca="1">IFERROR(__xludf.DUMMYFUNCTION("""COMPUTED_VALUE"""),"2P")</f>
        <v>2P</v>
      </c>
      <c r="B3" s="108">
        <f ca="1">IFERROR(__xludf.DUMMYFUNCTION("""COMPUTED_VALUE"""),99)</f>
        <v>99</v>
      </c>
      <c r="C3" s="108">
        <f ca="1">IFERROR(__xludf.DUMMYFUNCTION("""COMPUTED_VALUE"""),0)</f>
        <v>0</v>
      </c>
    </row>
    <row r="4" spans="1:3" ht="15" customHeight="1" x14ac:dyDescent="0.25">
      <c r="A4" s="108" t="str">
        <f ca="1">IFERROR(__xludf.DUMMYFUNCTION("""COMPUTED_VALUE"""),"3P")</f>
        <v>3P</v>
      </c>
      <c r="B4" s="108" t="str">
        <f ca="1">IFERROR(__xludf.DUMMYFUNCTION("""COMPUTED_VALUE"""),"N.A.")</f>
        <v>N.A.</v>
      </c>
      <c r="C4" s="108" t="str">
        <f ca="1">IFERROR(__xludf.DUMMYFUNCTION("""COMPUTED_VALUE"""),"N.A.")</f>
        <v>N.A.</v>
      </c>
    </row>
    <row r="5" spans="1:3" ht="15" customHeight="1" x14ac:dyDescent="0.25">
      <c r="A5" s="108" t="str">
        <f ca="1">IFERROR(__xludf.DUMMYFUNCTION("""COMPUTED_VALUE"""),"4K")</f>
        <v>4K</v>
      </c>
      <c r="B5" s="108">
        <f ca="1">IFERROR(__xludf.DUMMYFUNCTION("""COMPUTED_VALUE"""),117)</f>
        <v>117</v>
      </c>
      <c r="C5" s="108">
        <f ca="1">IFERROR(__xludf.DUMMYFUNCTION("""COMPUTED_VALUE"""),0)</f>
        <v>0</v>
      </c>
    </row>
    <row r="6" spans="1:3" ht="15" customHeight="1" x14ac:dyDescent="0.25">
      <c r="A6" s="108" t="str">
        <f ca="1">IFERROR(__xludf.DUMMYFUNCTION("""COMPUTED_VALUE"""),"5K")</f>
        <v>5K</v>
      </c>
      <c r="B6" s="108">
        <f ca="1">IFERROR(__xludf.DUMMYFUNCTION("""COMPUTED_VALUE"""),95)</f>
        <v>95</v>
      </c>
      <c r="C6" s="108">
        <f ca="1">IFERROR(__xludf.DUMMYFUNCTION("""COMPUTED_VALUE"""),1)</f>
        <v>1</v>
      </c>
    </row>
    <row r="7" spans="1:3" ht="15" customHeight="1" x14ac:dyDescent="0.25">
      <c r="A7" s="108" t="str">
        <f ca="1">IFERROR(__xludf.DUMMYFUNCTION("""COMPUTED_VALUE"""),"6P")</f>
        <v>6P</v>
      </c>
      <c r="B7" s="108">
        <f ca="1">IFERROR(__xludf.DUMMYFUNCTION("""COMPUTED_VALUE"""),40)</f>
        <v>40</v>
      </c>
      <c r="C7" s="108">
        <f ca="1">IFERROR(__xludf.DUMMYFUNCTION("""COMPUTED_VALUE"""),0)</f>
        <v>0</v>
      </c>
    </row>
    <row r="8" spans="1:3" ht="15" customHeight="1" x14ac:dyDescent="0.25">
      <c r="A8" s="108" t="str">
        <f ca="1">IFERROR(__xludf.DUMMYFUNCTION("""COMPUTED_VALUE"""),"7P")</f>
        <v>7P</v>
      </c>
      <c r="B8" s="108">
        <f ca="1">IFERROR(__xludf.DUMMYFUNCTION("""COMPUTED_VALUE"""),140)</f>
        <v>140</v>
      </c>
      <c r="C8" s="108">
        <f ca="1">IFERROR(__xludf.DUMMYFUNCTION("""COMPUTED_VALUE"""),9)</f>
        <v>9</v>
      </c>
    </row>
    <row r="9" spans="1:3" ht="15" customHeight="1" x14ac:dyDescent="0.25">
      <c r="A9" s="108" t="str">
        <f ca="1">IFERROR(__xludf.DUMMYFUNCTION("""COMPUTED_VALUE"""),"8P")</f>
        <v>8P</v>
      </c>
      <c r="B9" s="108">
        <f ca="1">IFERROR(__xludf.DUMMYFUNCTION("""COMPUTED_VALUE"""),58)</f>
        <v>58</v>
      </c>
      <c r="C9" s="108">
        <f ca="1">IFERROR(__xludf.DUMMYFUNCTION("""COMPUTED_VALUE"""),0)</f>
        <v>0</v>
      </c>
    </row>
    <row r="10" spans="1:3" ht="15" customHeight="1" x14ac:dyDescent="0.25">
      <c r="A10" s="108" t="str">
        <f ca="1">IFERROR(__xludf.DUMMYFUNCTION("""COMPUTED_VALUE"""),"9K")</f>
        <v>9K</v>
      </c>
      <c r="B10" s="108">
        <f ca="1">IFERROR(__xludf.DUMMYFUNCTION("""COMPUTED_VALUE"""),65)</f>
        <v>65</v>
      </c>
      <c r="C10" s="108">
        <f ca="1">IFERROR(__xludf.DUMMYFUNCTION("""COMPUTED_VALUE"""),1)</f>
        <v>1</v>
      </c>
    </row>
    <row r="11" spans="1:3" ht="15" customHeight="1" x14ac:dyDescent="0.25">
      <c r="A11" s="108" t="str">
        <f ca="1">IFERROR(__xludf.DUMMYFUNCTION("""COMPUTED_VALUE"""),"10P")</f>
        <v>10P</v>
      </c>
      <c r="B11" s="108">
        <f ca="1">IFERROR(__xludf.DUMMYFUNCTION("""COMPUTED_VALUE"""),133)</f>
        <v>133</v>
      </c>
      <c r="C11" s="108">
        <f ca="1">IFERROR(__xludf.DUMMYFUNCTION("""COMPUTED_VALUE"""),0)</f>
        <v>0</v>
      </c>
    </row>
    <row r="12" spans="1:3" ht="15" customHeight="1" x14ac:dyDescent="0.25">
      <c r="A12" s="108" t="str">
        <f ca="1">IFERROR(__xludf.DUMMYFUNCTION("""COMPUTED_VALUE"""),"11K")</f>
        <v>11K</v>
      </c>
      <c r="B12" s="108" t="str">
        <f ca="1">IFERROR(__xludf.DUMMYFUNCTION("""COMPUTED_VALUE"""),"N.A.")</f>
        <v>N.A.</v>
      </c>
      <c r="C12" s="108" t="str">
        <f ca="1">IFERROR(__xludf.DUMMYFUNCTION("""COMPUTED_VALUE"""),"N.A.")</f>
        <v>N.A.</v>
      </c>
    </row>
    <row r="13" spans="1:3" ht="15" customHeight="1" x14ac:dyDescent="0.25">
      <c r="A13" s="108" t="str">
        <f ca="1">IFERROR(__xludf.DUMMYFUNCTION("""COMPUTED_VALUE"""),"12K")</f>
        <v>12K</v>
      </c>
      <c r="B13" s="108">
        <f ca="1">IFERROR(__xludf.DUMMYFUNCTION("""COMPUTED_VALUE"""),111)</f>
        <v>111</v>
      </c>
      <c r="C13" s="108">
        <f ca="1">IFERROR(__xludf.DUMMYFUNCTION("""COMPUTED_VALUE"""),0)</f>
        <v>0</v>
      </c>
    </row>
    <row r="14" spans="1:3" ht="15" customHeight="1" x14ac:dyDescent="0.25">
      <c r="A14" s="108" t="str">
        <f ca="1">IFERROR(__xludf.DUMMYFUNCTION("""COMPUTED_VALUE"""),"13P")</f>
        <v>13P</v>
      </c>
      <c r="B14" s="108">
        <f ca="1">IFERROR(__xludf.DUMMYFUNCTION("""COMPUTED_VALUE"""),113)</f>
        <v>113</v>
      </c>
      <c r="C14" s="108">
        <f ca="1">IFERROR(__xludf.DUMMYFUNCTION("""COMPUTED_VALUE"""),0)</f>
        <v>0</v>
      </c>
    </row>
    <row r="15" spans="1:3" ht="15" customHeight="1" x14ac:dyDescent="0.25">
      <c r="A15" s="108" t="str">
        <f ca="1">IFERROR(__xludf.DUMMYFUNCTION("""COMPUTED_VALUE"""),"14K")</f>
        <v>14K</v>
      </c>
      <c r="B15" s="108">
        <f ca="1">IFERROR(__xludf.DUMMYFUNCTION("""COMPUTED_VALUE"""),118)</f>
        <v>118</v>
      </c>
      <c r="C15" s="108">
        <f ca="1">IFERROR(__xludf.DUMMYFUNCTION("""COMPUTED_VALUE"""),7)</f>
        <v>7</v>
      </c>
    </row>
    <row r="16" spans="1:3" ht="15" customHeight="1" x14ac:dyDescent="0.25">
      <c r="A16" s="108" t="str">
        <f ca="1">IFERROR(__xludf.DUMMYFUNCTION("""COMPUTED_VALUE"""),"15P")</f>
        <v>15P</v>
      </c>
      <c r="B16" s="108">
        <f ca="1">IFERROR(__xludf.DUMMYFUNCTION("""COMPUTED_VALUE"""),65)</f>
        <v>65</v>
      </c>
      <c r="C16" s="108">
        <f ca="1">IFERROR(__xludf.DUMMYFUNCTION("""COMPUTED_VALUE"""),0)</f>
        <v>0</v>
      </c>
    </row>
    <row r="17" spans="1:3" ht="15" customHeight="1" x14ac:dyDescent="0.25">
      <c r="A17" s="108" t="str">
        <f ca="1">IFERROR(__xludf.DUMMYFUNCTION("""COMPUTED_VALUE"""),"16K")</f>
        <v>16K</v>
      </c>
      <c r="B17" s="108">
        <f ca="1">IFERROR(__xludf.DUMMYFUNCTION("""COMPUTED_VALUE"""),122)</f>
        <v>122</v>
      </c>
      <c r="C17" s="108">
        <f ca="1">IFERROR(__xludf.DUMMYFUNCTION("""COMPUTED_VALUE"""),2)</f>
        <v>2</v>
      </c>
    </row>
    <row r="18" spans="1:3" ht="15" customHeight="1" x14ac:dyDescent="0.25">
      <c r="A18" s="108" t="str">
        <f ca="1">IFERROR(__xludf.DUMMYFUNCTION("""COMPUTED_VALUE"""),"17K")</f>
        <v>17K</v>
      </c>
      <c r="B18" s="108">
        <f ca="1">IFERROR(__xludf.DUMMYFUNCTION("""COMPUTED_VALUE"""),104)</f>
        <v>104</v>
      </c>
      <c r="C18" s="108">
        <f ca="1">IFERROR(__xludf.DUMMYFUNCTION("""COMPUTED_VALUE"""),0)</f>
        <v>0</v>
      </c>
    </row>
    <row r="19" spans="1:3" ht="15" customHeight="1" x14ac:dyDescent="0.25">
      <c r="A19" s="108" t="str">
        <f ca="1">IFERROR(__xludf.DUMMYFUNCTION("""COMPUTED_VALUE"""),"18P")</f>
        <v>18P</v>
      </c>
      <c r="B19" s="108">
        <f ca="1">IFERROR(__xludf.DUMMYFUNCTION("""COMPUTED_VALUE"""),149)</f>
        <v>149</v>
      </c>
      <c r="C19" s="108">
        <f ca="1">IFERROR(__xludf.DUMMYFUNCTION("""COMPUTED_VALUE"""),0)</f>
        <v>0</v>
      </c>
    </row>
    <row r="20" spans="1:3" ht="15" customHeight="1" x14ac:dyDescent="0.25">
      <c r="A20" s="108" t="str">
        <f ca="1">IFERROR(__xludf.DUMMYFUNCTION("""COMPUTED_VALUE"""),"19P")</f>
        <v>19P</v>
      </c>
      <c r="B20" s="108">
        <f ca="1">IFERROR(__xludf.DUMMYFUNCTION("""COMPUTED_VALUE"""),149)</f>
        <v>149</v>
      </c>
      <c r="C20" s="108">
        <f ca="1">IFERROR(__xludf.DUMMYFUNCTION("""COMPUTED_VALUE"""),0)</f>
        <v>0</v>
      </c>
    </row>
    <row r="21" spans="1:3" ht="15" customHeight="1" x14ac:dyDescent="0.25">
      <c r="A21" s="108" t="str">
        <f ca="1">IFERROR(__xludf.DUMMYFUNCTION("""COMPUTED_VALUE"""),"20P")</f>
        <v>20P</v>
      </c>
      <c r="B21" s="108">
        <f ca="1">IFERROR(__xludf.DUMMYFUNCTION("""COMPUTED_VALUE"""),114)</f>
        <v>114</v>
      </c>
      <c r="C21" s="108">
        <f ca="1">IFERROR(__xludf.DUMMYFUNCTION("""COMPUTED_VALUE"""),4)</f>
        <v>4</v>
      </c>
    </row>
    <row r="22" spans="1:3" ht="15" customHeight="1" x14ac:dyDescent="0.25">
      <c r="A22" s="108" t="str">
        <f ca="1">IFERROR(__xludf.DUMMYFUNCTION("""COMPUTED_VALUE"""),"21K")</f>
        <v>21K</v>
      </c>
      <c r="B22" s="108">
        <f ca="1">IFERROR(__xludf.DUMMYFUNCTION("""COMPUTED_VALUE"""),137)</f>
        <v>137</v>
      </c>
      <c r="C22" s="108">
        <f ca="1">IFERROR(__xludf.DUMMYFUNCTION("""COMPUTED_VALUE"""),1)</f>
        <v>1</v>
      </c>
    </row>
    <row r="23" spans="1:3" ht="15" customHeight="1" x14ac:dyDescent="0.25">
      <c r="A23" s="108" t="str">
        <f ca="1">IFERROR(__xludf.DUMMYFUNCTION("""COMPUTED_VALUE"""),"22K")</f>
        <v>22K</v>
      </c>
      <c r="B23" s="108">
        <f ca="1">IFERROR(__xludf.DUMMYFUNCTION("""COMPUTED_VALUE"""),111)</f>
        <v>111</v>
      </c>
      <c r="C23" s="108">
        <f ca="1">IFERROR(__xludf.DUMMYFUNCTION("""COMPUTED_VALUE"""),0)</f>
        <v>0</v>
      </c>
    </row>
    <row r="24" spans="1:3" ht="15" customHeight="1" x14ac:dyDescent="0.25">
      <c r="A24" s="108" t="str">
        <f ca="1">IFERROR(__xludf.DUMMYFUNCTION("""COMPUTED_VALUE"""),"23K")</f>
        <v>23K</v>
      </c>
      <c r="B24" s="108" t="str">
        <f ca="1">IFERROR(__xludf.DUMMYFUNCTION("""COMPUTED_VALUE"""),"N.A.")</f>
        <v>N.A.</v>
      </c>
      <c r="C24" s="108" t="str">
        <f ca="1">IFERROR(__xludf.DUMMYFUNCTION("""COMPUTED_VALUE"""),"N.A.")</f>
        <v>N.A.</v>
      </c>
    </row>
    <row r="25" spans="1:3" ht="15" customHeight="1" x14ac:dyDescent="0.25">
      <c r="A25" s="108" t="str">
        <f ca="1">IFERROR(__xludf.DUMMYFUNCTION("""COMPUTED_VALUE"""),"24K")</f>
        <v>24K</v>
      </c>
      <c r="B25" s="108">
        <f ca="1">IFERROR(__xludf.DUMMYFUNCTION("""COMPUTED_VALUE"""),129)</f>
        <v>129</v>
      </c>
      <c r="C25" s="108">
        <f ca="1">IFERROR(__xludf.DUMMYFUNCTION("""COMPUTED_VALUE"""),0)</f>
        <v>0</v>
      </c>
    </row>
    <row r="26" spans="1:3" ht="15" customHeight="1" x14ac:dyDescent="0.25">
      <c r="A26" s="108" t="str">
        <f ca="1">IFERROR(__xludf.DUMMYFUNCTION("""COMPUTED_VALUE"""),"25P")</f>
        <v>25P</v>
      </c>
      <c r="B26" s="108">
        <f ca="1">IFERROR(__xludf.DUMMYFUNCTION("""COMPUTED_VALUE"""),160)</f>
        <v>160</v>
      </c>
      <c r="C26" s="108">
        <f ca="1">IFERROR(__xludf.DUMMYFUNCTION("""COMPUTED_VALUE"""),2)</f>
        <v>2</v>
      </c>
    </row>
    <row r="27" spans="1:3" ht="15" customHeight="1" x14ac:dyDescent="0.25">
      <c r="A27" s="108" t="str">
        <f ca="1">IFERROR(__xludf.DUMMYFUNCTION("""COMPUTED_VALUE"""),"26P")</f>
        <v>26P</v>
      </c>
      <c r="B27" s="108">
        <f ca="1">IFERROR(__xludf.DUMMYFUNCTION("""COMPUTED_VALUE"""),126)</f>
        <v>126</v>
      </c>
      <c r="C27" s="108">
        <f ca="1">IFERROR(__xludf.DUMMYFUNCTION("""COMPUTED_VALUE"""),0)</f>
        <v>0</v>
      </c>
    </row>
    <row r="28" spans="1:3" ht="15" customHeight="1" x14ac:dyDescent="0.25">
      <c r="A28" s="108" t="str">
        <f ca="1">IFERROR(__xludf.DUMMYFUNCTION("""COMPUTED_VALUE"""),"27P")</f>
        <v>27P</v>
      </c>
      <c r="B28" s="108">
        <f ca="1">IFERROR(__xludf.DUMMYFUNCTION("""COMPUTED_VALUE"""),107)</f>
        <v>107</v>
      </c>
      <c r="C28" s="108">
        <f ca="1">IFERROR(__xludf.DUMMYFUNCTION("""COMPUTED_VALUE"""),0)</f>
        <v>0</v>
      </c>
    </row>
    <row r="29" spans="1:3" ht="15" customHeight="1" x14ac:dyDescent="0.25">
      <c r="A29" s="108" t="str">
        <f ca="1">IFERROR(__xludf.DUMMYFUNCTION("""COMPUTED_VALUE"""),"28K")</f>
        <v>28K</v>
      </c>
      <c r="B29" s="108">
        <f ca="1">IFERROR(__xludf.DUMMYFUNCTION("""COMPUTED_VALUE"""),81)</f>
        <v>81</v>
      </c>
      <c r="C29" s="108">
        <f ca="1">IFERROR(__xludf.DUMMYFUNCTION("""COMPUTED_VALUE"""),13)</f>
        <v>13</v>
      </c>
    </row>
    <row r="30" spans="1:3" ht="15" customHeight="1" x14ac:dyDescent="0.25">
      <c r="A30" s="108" t="str">
        <f ca="1">IFERROR(__xludf.DUMMYFUNCTION("""COMPUTED_VALUE"""),"29K")</f>
        <v>29K</v>
      </c>
      <c r="B30" s="108">
        <f ca="1">IFERROR(__xludf.DUMMYFUNCTION("""COMPUTED_VALUE"""),65)</f>
        <v>65</v>
      </c>
      <c r="C30" s="108">
        <f ca="1">IFERROR(__xludf.DUMMYFUNCTION("""COMPUTED_VALUE"""),0)</f>
        <v>0</v>
      </c>
    </row>
    <row r="31" spans="1:3" ht="15" customHeight="1" x14ac:dyDescent="0.25">
      <c r="A31" s="108" t="str">
        <f ca="1">IFERROR(__xludf.DUMMYFUNCTION("""COMPUTED_VALUE"""),"30K")</f>
        <v>30K</v>
      </c>
      <c r="B31" s="108" t="str">
        <f ca="1">IFERROR(__xludf.DUMMYFUNCTION("""COMPUTED_VALUE"""),"N.A.")</f>
        <v>N.A.</v>
      </c>
      <c r="C31" s="108" t="str">
        <f ca="1">IFERROR(__xludf.DUMMYFUNCTION("""COMPUTED_VALUE"""),"N.A.")</f>
        <v>N.A.</v>
      </c>
    </row>
    <row r="32" spans="1:3" ht="15" customHeight="1" x14ac:dyDescent="0.25">
      <c r="A32" s="108" t="str">
        <f ca="1">IFERROR(__xludf.DUMMYFUNCTION("""COMPUTED_VALUE"""),"31K")</f>
        <v>31K</v>
      </c>
      <c r="B32" s="108">
        <f ca="1">IFERROR(__xludf.DUMMYFUNCTION("""COMPUTED_VALUE"""),112)</f>
        <v>112</v>
      </c>
      <c r="C32" s="108">
        <f ca="1">IFERROR(__xludf.DUMMYFUNCTION("""COMPUTED_VALUE"""),10)</f>
        <v>10</v>
      </c>
    </row>
    <row r="33" spans="1:7" ht="15" customHeight="1" x14ac:dyDescent="0.25">
      <c r="A33" s="108" t="str">
        <f ca="1">IFERROR(__xludf.DUMMYFUNCTION("""COMPUTED_VALUE"""),"32K")</f>
        <v>32K</v>
      </c>
      <c r="B33" s="108">
        <f ca="1">IFERROR(__xludf.DUMMYFUNCTION("""COMPUTED_VALUE"""),117)</f>
        <v>117</v>
      </c>
      <c r="C33" s="108">
        <f ca="1">IFERROR(__xludf.DUMMYFUNCTION("""COMPUTED_VALUE"""),2)</f>
        <v>2</v>
      </c>
    </row>
    <row r="34" spans="1:7" ht="15" customHeight="1" x14ac:dyDescent="0.25">
      <c r="A34" s="108" t="str">
        <f ca="1">IFERROR(__xludf.DUMMYFUNCTION("""COMPUTED_VALUE"""),"33P")</f>
        <v>33P</v>
      </c>
      <c r="B34" s="108">
        <f ca="1">IFERROR(__xludf.DUMMYFUNCTION("""COMPUTED_VALUE"""),104)</f>
        <v>104</v>
      </c>
      <c r="C34" s="108">
        <f ca="1">IFERROR(__xludf.DUMMYFUNCTION("""COMPUTED_VALUE"""),4)</f>
        <v>4</v>
      </c>
      <c r="F34" s="162"/>
      <c r="G34" s="162"/>
    </row>
    <row r="35" spans="1:7" ht="15" customHeight="1" x14ac:dyDescent="0.25">
      <c r="A35" s="108" t="str">
        <f ca="1">IFERROR(__xludf.DUMMYFUNCTION("""COMPUTED_VALUE"""),"34K")</f>
        <v>34K</v>
      </c>
      <c r="B35" s="108">
        <f ca="1">IFERROR(__xludf.DUMMYFUNCTION("""COMPUTED_VALUE"""),63)</f>
        <v>63</v>
      </c>
      <c r="C35" s="108">
        <f ca="1">IFERROR(__xludf.DUMMYFUNCTION("""COMPUTED_VALUE"""),0)</f>
        <v>0</v>
      </c>
    </row>
    <row r="36" spans="1:7" ht="15" customHeight="1" x14ac:dyDescent="0.25">
      <c r="A36" s="108" t="str">
        <f ca="1">IFERROR(__xludf.DUMMYFUNCTION("""COMPUTED_VALUE"""),"35K")</f>
        <v>35K</v>
      </c>
      <c r="B36" s="108" t="str">
        <f ca="1">IFERROR(__xludf.DUMMYFUNCTION("""COMPUTED_VALUE"""),"N.A.")</f>
        <v>N.A.</v>
      </c>
      <c r="C36" s="108" t="str">
        <f ca="1">IFERROR(__xludf.DUMMYFUNCTION("""COMPUTED_VALUE"""),"N.A.")</f>
        <v>N.A.</v>
      </c>
    </row>
    <row r="37" spans="1:7" ht="15" customHeight="1" x14ac:dyDescent="0.25">
      <c r="A37" s="108" t="str">
        <f ca="1">IFERROR(__xludf.DUMMYFUNCTION("""COMPUTED_VALUE"""),"36K")</f>
        <v>36K</v>
      </c>
      <c r="B37" s="108" t="str">
        <f ca="1">IFERROR(__xludf.DUMMYFUNCTION("""COMPUTED_VALUE"""),"N.A.")</f>
        <v>N.A.</v>
      </c>
      <c r="C37" s="108" t="str">
        <f ca="1">IFERROR(__xludf.DUMMYFUNCTION("""COMPUTED_VALUE"""),"N.A.")</f>
        <v>N.A.</v>
      </c>
    </row>
    <row r="38" spans="1:7" ht="15" customHeight="1" x14ac:dyDescent="0.25">
      <c r="A38" s="108" t="str">
        <f ca="1">IFERROR(__xludf.DUMMYFUNCTION("""COMPUTED_VALUE"""),"37K")</f>
        <v>37K</v>
      </c>
      <c r="B38" s="108">
        <f ca="1">IFERROR(__xludf.DUMMYFUNCTION("""COMPUTED_VALUE"""),106)</f>
        <v>106</v>
      </c>
      <c r="C38" s="108">
        <f ca="1">IFERROR(__xludf.DUMMYFUNCTION("""COMPUTED_VALUE"""),6)</f>
        <v>6</v>
      </c>
    </row>
    <row r="39" spans="1:7" ht="15" customHeight="1" x14ac:dyDescent="0.25">
      <c r="A39" s="108" t="str">
        <f ca="1">IFERROR(__xludf.DUMMYFUNCTION("""COMPUTED_VALUE"""),"38P")</f>
        <v>38P</v>
      </c>
      <c r="B39" s="108" t="str">
        <f ca="1">IFERROR(__xludf.DUMMYFUNCTION("""COMPUTED_VALUE"""),"N.A.")</f>
        <v>N.A.</v>
      </c>
      <c r="C39" s="108" t="str">
        <f ca="1">IFERROR(__xludf.DUMMYFUNCTION("""COMPUTED_VALUE"""),"N.A.")</f>
        <v>N.A.</v>
      </c>
    </row>
    <row r="40" spans="1:7" ht="15" customHeight="1" x14ac:dyDescent="0.25">
      <c r="A40" s="108" t="str">
        <f ca="1">IFERROR(__xludf.DUMMYFUNCTION("""COMPUTED_VALUE"""),"39K")</f>
        <v>39K</v>
      </c>
      <c r="B40" s="108" t="str">
        <f ca="1">IFERROR(__xludf.DUMMYFUNCTION("""COMPUTED_VALUE"""),"N.A.")</f>
        <v>N.A.</v>
      </c>
      <c r="C40" s="108" t="str">
        <f ca="1">IFERROR(__xludf.DUMMYFUNCTION("""COMPUTED_VALUE"""),"N.A.")</f>
        <v>N.A.</v>
      </c>
    </row>
    <row r="41" spans="1:7" ht="15" customHeight="1" x14ac:dyDescent="0.25">
      <c r="A41" s="108" t="str">
        <f ca="1">IFERROR(__xludf.DUMMYFUNCTION("""COMPUTED_VALUE"""),"40P")</f>
        <v>40P</v>
      </c>
      <c r="B41" s="108">
        <f ca="1">IFERROR(__xludf.DUMMYFUNCTION("""COMPUTED_VALUE"""),102)</f>
        <v>102</v>
      </c>
      <c r="C41" s="108">
        <f ca="1">IFERROR(__xludf.DUMMYFUNCTION("""COMPUTED_VALUE"""),2)</f>
        <v>2</v>
      </c>
    </row>
    <row r="42" spans="1:7" ht="15" customHeight="1" x14ac:dyDescent="0.25">
      <c r="A42" s="108" t="str">
        <f ca="1">IFERROR(__xludf.DUMMYFUNCTION("""COMPUTED_VALUE"""),"41P")</f>
        <v>41P</v>
      </c>
      <c r="B42" s="108">
        <f ca="1">IFERROR(__xludf.DUMMYFUNCTION("""COMPUTED_VALUE"""),86)</f>
        <v>86</v>
      </c>
      <c r="C42" s="108">
        <f ca="1">IFERROR(__xludf.DUMMYFUNCTION("""COMPUTED_VALUE"""),4)</f>
        <v>4</v>
      </c>
    </row>
    <row r="43" spans="1:7" ht="15" customHeight="1" x14ac:dyDescent="0.25">
      <c r="A43" s="108" t="str">
        <f ca="1">IFERROR(__xludf.DUMMYFUNCTION("""COMPUTED_VALUE"""),"42K")</f>
        <v>42K</v>
      </c>
      <c r="B43" s="108" t="str">
        <f ca="1">IFERROR(__xludf.DUMMYFUNCTION("""COMPUTED_VALUE"""),"N.A.")</f>
        <v>N.A.</v>
      </c>
      <c r="C43" s="108" t="str">
        <f ca="1">IFERROR(__xludf.DUMMYFUNCTION("""COMPUTED_VALUE"""),"N.A.")</f>
        <v>N.A.</v>
      </c>
    </row>
    <row r="44" spans="1:7" ht="15" customHeight="1" x14ac:dyDescent="0.25">
      <c r="A44" s="108" t="str">
        <f ca="1">IFERROR(__xludf.DUMMYFUNCTION("""COMPUTED_VALUE"""),"43K")</f>
        <v>43K</v>
      </c>
      <c r="B44" s="108" t="str">
        <f ca="1">IFERROR(__xludf.DUMMYFUNCTION("""COMPUTED_VALUE"""),"N.A.")</f>
        <v>N.A.</v>
      </c>
      <c r="C44" s="108" t="str">
        <f ca="1">IFERROR(__xludf.DUMMYFUNCTION("""COMPUTED_VALUE"""),"N.A.")</f>
        <v>N.A.</v>
      </c>
    </row>
    <row r="45" spans="1:7" ht="15" customHeight="1" x14ac:dyDescent="0.25">
      <c r="A45" s="108" t="str">
        <f ca="1">IFERROR(__xludf.DUMMYFUNCTION("""COMPUTED_VALUE"""),"44K")</f>
        <v>44K</v>
      </c>
      <c r="B45" s="108">
        <f ca="1">IFERROR(__xludf.DUMMYFUNCTION("""COMPUTED_VALUE"""),68)</f>
        <v>68</v>
      </c>
      <c r="C45" s="108">
        <f ca="1">IFERROR(__xludf.DUMMYFUNCTION("""COMPUTED_VALUE"""),0)</f>
        <v>0</v>
      </c>
    </row>
    <row r="46" spans="1:7" ht="15" customHeight="1" x14ac:dyDescent="0.25">
      <c r="A46" s="108" t="str">
        <f ca="1">IFERROR(__xludf.DUMMYFUNCTION("""COMPUTED_VALUE"""),"45K")</f>
        <v>45K</v>
      </c>
      <c r="B46" s="108">
        <f ca="1">IFERROR(__xludf.DUMMYFUNCTION("""COMPUTED_VALUE"""),121)</f>
        <v>121</v>
      </c>
      <c r="C46" s="108">
        <f ca="1">IFERROR(__xludf.DUMMYFUNCTION("""COMPUTED_VALUE"""),1)</f>
        <v>1</v>
      </c>
    </row>
    <row r="47" spans="1:7" ht="15" customHeight="1" x14ac:dyDescent="0.25">
      <c r="A47" s="108" t="str">
        <f ca="1">IFERROR(__xludf.DUMMYFUNCTION("""COMPUTED_VALUE"""),"46K")</f>
        <v>46K</v>
      </c>
      <c r="B47" s="108" t="str">
        <f ca="1">IFERROR(__xludf.DUMMYFUNCTION("""COMPUTED_VALUE"""),"N.A.")</f>
        <v>N.A.</v>
      </c>
      <c r="C47" s="108" t="str">
        <f ca="1">IFERROR(__xludf.DUMMYFUNCTION("""COMPUTED_VALUE"""),"N.A.")</f>
        <v>N.A.</v>
      </c>
    </row>
    <row r="48" spans="1:7" ht="15" customHeight="1" x14ac:dyDescent="0.25">
      <c r="A48" s="108" t="str">
        <f ca="1">IFERROR(__xludf.DUMMYFUNCTION("""COMPUTED_VALUE"""),"47K")</f>
        <v>47K</v>
      </c>
      <c r="B48" s="108" t="str">
        <f ca="1">IFERROR(__xludf.DUMMYFUNCTION("""COMPUTED_VALUE"""),"N.A.")</f>
        <v>N.A.</v>
      </c>
      <c r="C48" s="108" t="str">
        <f ca="1">IFERROR(__xludf.DUMMYFUNCTION("""COMPUTED_VALUE"""),"N.A.")</f>
        <v>N.A.</v>
      </c>
    </row>
    <row r="49" spans="1:3" ht="15" customHeight="1" x14ac:dyDescent="0.25">
      <c r="A49" s="108" t="str">
        <f ca="1">IFERROR(__xludf.DUMMYFUNCTION("""COMPUTED_VALUE"""),"48K")</f>
        <v>48K</v>
      </c>
      <c r="B49" s="108" t="str">
        <f ca="1">IFERROR(__xludf.DUMMYFUNCTION("""COMPUTED_VALUE"""),"N.A.")</f>
        <v>N.A.</v>
      </c>
      <c r="C49" s="108" t="str">
        <f ca="1">IFERROR(__xludf.DUMMYFUNCTION("""COMPUTED_VALUE"""),"N.A.")</f>
        <v>N.A.</v>
      </c>
    </row>
    <row r="50" spans="1:3" ht="15" customHeight="1" x14ac:dyDescent="0.25">
      <c r="A50" s="108" t="str">
        <f ca="1">IFERROR(__xludf.DUMMYFUNCTION("""COMPUTED_VALUE"""),"49K")</f>
        <v>49K</v>
      </c>
      <c r="B50" s="108">
        <f ca="1">IFERROR(__xludf.DUMMYFUNCTION("""COMPUTED_VALUE"""),84)</f>
        <v>84</v>
      </c>
      <c r="C50" s="108">
        <f ca="1">IFERROR(__xludf.DUMMYFUNCTION("""COMPUTED_VALUE"""),1)</f>
        <v>1</v>
      </c>
    </row>
    <row r="51" spans="1:3" ht="15" customHeight="1" x14ac:dyDescent="0.25">
      <c r="A51" s="108" t="str">
        <f ca="1">IFERROR(__xludf.DUMMYFUNCTION("""COMPUTED_VALUE"""),"50K")</f>
        <v>50K</v>
      </c>
      <c r="B51" s="108">
        <f ca="1">IFERROR(__xludf.DUMMYFUNCTION("""COMPUTED_VALUE"""),65)</f>
        <v>65</v>
      </c>
      <c r="C51" s="108">
        <f ca="1">IFERROR(__xludf.DUMMYFUNCTION("""COMPUTED_VALUE"""),0)</f>
        <v>0</v>
      </c>
    </row>
    <row r="52" spans="1:3" ht="15" customHeight="1" x14ac:dyDescent="0.25">
      <c r="A52" s="108" t="str">
        <f ca="1">IFERROR(__xludf.DUMMYFUNCTION("""COMPUTED_VALUE"""),"51P")</f>
        <v>51P</v>
      </c>
      <c r="B52" s="108" t="str">
        <f ca="1">IFERROR(__xludf.DUMMYFUNCTION("""COMPUTED_VALUE"""),"N.A.")</f>
        <v>N.A.</v>
      </c>
      <c r="C52" s="108" t="str">
        <f ca="1">IFERROR(__xludf.DUMMYFUNCTION("""COMPUTED_VALUE"""),"N.A.")</f>
        <v>N.A.</v>
      </c>
    </row>
    <row r="53" spans="1:3" ht="15" customHeight="1" x14ac:dyDescent="0.25">
      <c r="A53" s="108" t="str">
        <f ca="1">IFERROR(__xludf.DUMMYFUNCTION("""COMPUTED_VALUE"""),"52K")</f>
        <v>52K</v>
      </c>
      <c r="B53" s="108" t="str">
        <f ca="1">IFERROR(__xludf.DUMMYFUNCTION("""COMPUTED_VALUE"""),"N.A.")</f>
        <v>N.A.</v>
      </c>
      <c r="C53" s="108" t="str">
        <f ca="1">IFERROR(__xludf.DUMMYFUNCTION("""COMPUTED_VALUE"""),"N.A.")</f>
        <v>N.A.</v>
      </c>
    </row>
    <row r="54" spans="1:3" ht="15" customHeight="1" x14ac:dyDescent="0.25">
      <c r="A54" s="108" t="str">
        <f ca="1">IFERROR(__xludf.DUMMYFUNCTION("""COMPUTED_VALUE"""),"53K")</f>
        <v>53K</v>
      </c>
      <c r="B54" s="108">
        <f ca="1">IFERROR(__xludf.DUMMYFUNCTION("""COMPUTED_VALUE"""),81)</f>
        <v>81</v>
      </c>
      <c r="C54" s="108">
        <f ca="1">IFERROR(__xludf.DUMMYFUNCTION("""COMPUTED_VALUE"""),0)</f>
        <v>0</v>
      </c>
    </row>
    <row r="55" spans="1:3" ht="15" customHeight="1" x14ac:dyDescent="0.25">
      <c r="A55" s="108" t="str">
        <f ca="1">IFERROR(__xludf.DUMMYFUNCTION("""COMPUTED_VALUE"""),"54K")</f>
        <v>54K</v>
      </c>
      <c r="B55" s="108">
        <f ca="1">IFERROR(__xludf.DUMMYFUNCTION("""COMPUTED_VALUE"""),130)</f>
        <v>130</v>
      </c>
      <c r="C55" s="108">
        <f ca="1">IFERROR(__xludf.DUMMYFUNCTION("""COMPUTED_VALUE"""),0)</f>
        <v>0</v>
      </c>
    </row>
    <row r="56" spans="1:3" ht="15" customHeight="1" x14ac:dyDescent="0.25">
      <c r="A56" s="108" t="str">
        <f ca="1">IFERROR(__xludf.DUMMYFUNCTION("""COMPUTED_VALUE"""),"55K")</f>
        <v>55K</v>
      </c>
      <c r="B56" s="108" t="str">
        <f ca="1">IFERROR(__xludf.DUMMYFUNCTION("""COMPUTED_VALUE"""),"N.A.")</f>
        <v>N.A.</v>
      </c>
      <c r="C56" s="108" t="str">
        <f ca="1">IFERROR(__xludf.DUMMYFUNCTION("""COMPUTED_VALUE"""),"N.A.")</f>
        <v>N.A.</v>
      </c>
    </row>
    <row r="57" spans="1:3" ht="15" customHeight="1" x14ac:dyDescent="0.25">
      <c r="A57" s="108" t="str">
        <f ca="1">IFERROR(__xludf.DUMMYFUNCTION("""COMPUTED_VALUE"""),"56K")</f>
        <v>56K</v>
      </c>
      <c r="B57" s="108">
        <f ca="1">IFERROR(__xludf.DUMMYFUNCTION("""COMPUTED_VALUE"""),70)</f>
        <v>70</v>
      </c>
      <c r="C57" s="108">
        <f ca="1">IFERROR(__xludf.DUMMYFUNCTION("""COMPUTED_VALUE"""),0)</f>
        <v>0</v>
      </c>
    </row>
    <row r="58" spans="1:3" ht="15" customHeight="1" x14ac:dyDescent="0.25">
      <c r="A58" s="108" t="str">
        <f ca="1">IFERROR(__xludf.DUMMYFUNCTION("""COMPUTED_VALUE"""),"57K")</f>
        <v>57K</v>
      </c>
      <c r="B58" s="108" t="str">
        <f ca="1">IFERROR(__xludf.DUMMYFUNCTION("""COMPUTED_VALUE"""),"N.A.")</f>
        <v>N.A.</v>
      </c>
      <c r="C58" s="108">
        <f ca="1">IFERROR(__xludf.DUMMYFUNCTION("""COMPUTED_VALUE"""),0)</f>
        <v>0</v>
      </c>
    </row>
    <row r="59" spans="1:3" ht="15" customHeight="1" x14ac:dyDescent="0.25">
      <c r="A59" s="108" t="str">
        <f ca="1">IFERROR(__xludf.DUMMYFUNCTION("""COMPUTED_VALUE"""),"58K")</f>
        <v>58K</v>
      </c>
      <c r="B59" s="108">
        <f ca="1">IFERROR(__xludf.DUMMYFUNCTION("""COMPUTED_VALUE"""),122)</f>
        <v>122</v>
      </c>
      <c r="C59" s="108">
        <f ca="1">IFERROR(__xludf.DUMMYFUNCTION("""COMPUTED_VALUE"""),3)</f>
        <v>3</v>
      </c>
    </row>
    <row r="60" spans="1:3" ht="15" customHeight="1" x14ac:dyDescent="0.25">
      <c r="A60" s="108" t="str">
        <f ca="1">IFERROR(__xludf.DUMMYFUNCTION("""COMPUTED_VALUE"""),"59K")</f>
        <v>59K</v>
      </c>
      <c r="B60" s="108" t="str">
        <f ca="1">IFERROR(__xludf.DUMMYFUNCTION("""COMPUTED_VALUE"""),"N.A.")</f>
        <v>N.A.</v>
      </c>
      <c r="C60" s="108" t="str">
        <f ca="1">IFERROR(__xludf.DUMMYFUNCTION("""COMPUTED_VALUE"""),"N.A.")</f>
        <v>N.A.</v>
      </c>
    </row>
    <row r="61" spans="1:3" ht="15" customHeight="1" x14ac:dyDescent="0.25">
      <c r="A61" s="108" t="str">
        <f ca="1">IFERROR(__xludf.DUMMYFUNCTION("""COMPUTED_VALUE"""),"60P")</f>
        <v>60P</v>
      </c>
      <c r="B61" s="108" t="str">
        <f ca="1">IFERROR(__xludf.DUMMYFUNCTION("""COMPUTED_VALUE"""),"N.A.")</f>
        <v>N.A.</v>
      </c>
      <c r="C61" s="108" t="str">
        <f ca="1">IFERROR(__xludf.DUMMYFUNCTION("""COMPUTED_VALUE"""),"N.A.")</f>
        <v>N.A.</v>
      </c>
    </row>
    <row r="62" spans="1:3" ht="15" customHeight="1" x14ac:dyDescent="0.25">
      <c r="A62" s="108" t="str">
        <f ca="1">IFERROR(__xludf.DUMMYFUNCTION("""COMPUTED_VALUE"""),"61K")</f>
        <v>61K</v>
      </c>
      <c r="B62" s="108" t="str">
        <f ca="1">IFERROR(__xludf.DUMMYFUNCTION("""COMPUTED_VALUE"""),"N.A.")</f>
        <v>N.A.</v>
      </c>
      <c r="C62" s="108" t="str">
        <f ca="1">IFERROR(__xludf.DUMMYFUNCTION("""COMPUTED_VALUE"""),"N.A.")</f>
        <v>N.A.</v>
      </c>
    </row>
    <row r="63" spans="1:3" ht="15" customHeight="1" x14ac:dyDescent="0.25">
      <c r="A63" s="108" t="str">
        <f ca="1">IFERROR(__xludf.DUMMYFUNCTION("""COMPUTED_VALUE"""),"62K")</f>
        <v>62K</v>
      </c>
      <c r="B63" s="108">
        <f ca="1">IFERROR(__xludf.DUMMYFUNCTION("""COMPUTED_VALUE"""),76)</f>
        <v>76</v>
      </c>
      <c r="C63" s="108">
        <f ca="1">IFERROR(__xludf.DUMMYFUNCTION("""COMPUTED_VALUE"""),65)</f>
        <v>65</v>
      </c>
    </row>
    <row r="64" spans="1:3" ht="15" customHeight="1" x14ac:dyDescent="0.25">
      <c r="A64" s="108" t="str">
        <f ca="1">IFERROR(__xludf.DUMMYFUNCTION("""COMPUTED_VALUE"""),"63K")</f>
        <v>63K</v>
      </c>
      <c r="B64" s="108">
        <f ca="1">IFERROR(__xludf.DUMMYFUNCTION("""COMPUTED_VALUE"""),105)</f>
        <v>105</v>
      </c>
      <c r="C64" s="108">
        <f ca="1">IFERROR(__xludf.DUMMYFUNCTION("""COMPUTED_VALUE"""),3)</f>
        <v>3</v>
      </c>
    </row>
    <row r="65" spans="1:3" ht="15" customHeight="1" x14ac:dyDescent="0.25">
      <c r="A65" s="108" t="str">
        <f ca="1">IFERROR(__xludf.DUMMYFUNCTION("""COMPUTED_VALUE"""),"64P")</f>
        <v>64P</v>
      </c>
      <c r="B65" s="108">
        <f ca="1">IFERROR(__xludf.DUMMYFUNCTION("""COMPUTED_VALUE"""),81)</f>
        <v>81</v>
      </c>
      <c r="C65" s="108" t="str">
        <f ca="1">IFERROR(__xludf.DUMMYFUNCTION("""COMPUTED_VALUE"""),"N.A.")</f>
        <v>N.A.</v>
      </c>
    </row>
    <row r="66" spans="1:3" ht="15" customHeight="1" x14ac:dyDescent="0.25">
      <c r="A66" s="108" t="str">
        <f ca="1">IFERROR(__xludf.DUMMYFUNCTION("""COMPUTED_VALUE"""),"65K")</f>
        <v>65K</v>
      </c>
      <c r="B66" s="108">
        <f ca="1">IFERROR(__xludf.DUMMYFUNCTION("""COMPUTED_VALUE"""),75)</f>
        <v>75</v>
      </c>
      <c r="C66" s="108">
        <f ca="1">IFERROR(__xludf.DUMMYFUNCTION("""COMPUTED_VALUE"""),30)</f>
        <v>30</v>
      </c>
    </row>
    <row r="67" spans="1:3" ht="15" customHeight="1" x14ac:dyDescent="0.25">
      <c r="A67" s="108" t="str">
        <f ca="1">IFERROR(__xludf.DUMMYFUNCTION("""COMPUTED_VALUE"""),"66P")</f>
        <v>66P</v>
      </c>
      <c r="B67" s="108">
        <f ca="1">IFERROR(__xludf.DUMMYFUNCTION("""COMPUTED_VALUE"""),105)</f>
        <v>105</v>
      </c>
      <c r="C67" s="108">
        <f ca="1">IFERROR(__xludf.DUMMYFUNCTION("""COMPUTED_VALUE"""),0)</f>
        <v>0</v>
      </c>
    </row>
    <row r="68" spans="1:3" ht="15" customHeight="1" x14ac:dyDescent="0.25">
      <c r="A68" s="108" t="str">
        <f ca="1">IFERROR(__xludf.DUMMYFUNCTION("""COMPUTED_VALUE"""),"67K")</f>
        <v>67K</v>
      </c>
      <c r="B68" s="108">
        <f ca="1">IFERROR(__xludf.DUMMYFUNCTION("""COMPUTED_VALUE"""),83)</f>
        <v>83</v>
      </c>
      <c r="C68" s="108">
        <f ca="1">IFERROR(__xludf.DUMMYFUNCTION("""COMPUTED_VALUE"""),0)</f>
        <v>0</v>
      </c>
    </row>
    <row r="69" spans="1:3" ht="15" customHeight="1" x14ac:dyDescent="0.25">
      <c r="A69" s="108" t="str">
        <f ca="1">IFERROR(__xludf.DUMMYFUNCTION("""COMPUTED_VALUE"""),"68K")</f>
        <v>68K</v>
      </c>
      <c r="B69" s="108">
        <f ca="1">IFERROR(__xludf.DUMMYFUNCTION("""COMPUTED_VALUE"""),97)</f>
        <v>97</v>
      </c>
      <c r="C69" s="108">
        <f ca="1">IFERROR(__xludf.DUMMYFUNCTION("""COMPUTED_VALUE"""),0)</f>
        <v>0</v>
      </c>
    </row>
    <row r="70" spans="1:3" ht="15" customHeight="1" x14ac:dyDescent="0.25">
      <c r="A70" s="108" t="str">
        <f ca="1">IFERROR(__xludf.DUMMYFUNCTION("""COMPUTED_VALUE"""),"69K")</f>
        <v>69K</v>
      </c>
      <c r="B70" s="108">
        <f ca="1">IFERROR(__xludf.DUMMYFUNCTION("""COMPUTED_VALUE"""),79)</f>
        <v>79</v>
      </c>
      <c r="C70" s="108">
        <f ca="1">IFERROR(__xludf.DUMMYFUNCTION("""COMPUTED_VALUE"""),0)</f>
        <v>0</v>
      </c>
    </row>
    <row r="71" spans="1:3" ht="15" customHeight="1" x14ac:dyDescent="0.25">
      <c r="A71" s="108" t="str">
        <f ca="1">IFERROR(__xludf.DUMMYFUNCTION("""COMPUTED_VALUE"""),"70P")</f>
        <v>70P</v>
      </c>
      <c r="B71" s="108">
        <f ca="1">IFERROR(__xludf.DUMMYFUNCTION("""COMPUTED_VALUE"""),108)</f>
        <v>108</v>
      </c>
      <c r="C71" s="108">
        <f ca="1">IFERROR(__xludf.DUMMYFUNCTION("""COMPUTED_VALUE"""),0)</f>
        <v>0</v>
      </c>
    </row>
    <row r="72" spans="1:3" ht="15" customHeight="1" x14ac:dyDescent="0.25">
      <c r="A72" s="108" t="str">
        <f ca="1">IFERROR(__xludf.DUMMYFUNCTION("""COMPUTED_VALUE"""),"71P")</f>
        <v>71P</v>
      </c>
      <c r="B72" s="108">
        <f ca="1">IFERROR(__xludf.DUMMYFUNCTION("""COMPUTED_VALUE"""),106)</f>
        <v>106</v>
      </c>
      <c r="C72" s="108">
        <f ca="1">IFERROR(__xludf.DUMMYFUNCTION("""COMPUTED_VALUE"""),0)</f>
        <v>0</v>
      </c>
    </row>
    <row r="73" spans="1:3" ht="15" customHeight="1" x14ac:dyDescent="0.25">
      <c r="A73" s="108" t="str">
        <f ca="1">IFERROR(__xludf.DUMMYFUNCTION("""COMPUTED_VALUE"""),"72K")</f>
        <v>72K</v>
      </c>
      <c r="B73" s="108">
        <f ca="1">IFERROR(__xludf.DUMMYFUNCTION("""COMPUTED_VALUE"""),135)</f>
        <v>135</v>
      </c>
      <c r="C73" s="108">
        <f ca="1">IFERROR(__xludf.DUMMYFUNCTION("""COMPUTED_VALUE"""),0)</f>
        <v>0</v>
      </c>
    </row>
    <row r="74" spans="1:3" ht="15" customHeight="1" x14ac:dyDescent="0.25">
      <c r="A74" s="108" t="str">
        <f ca="1">IFERROR(__xludf.DUMMYFUNCTION("""COMPUTED_VALUE"""),"73K")</f>
        <v>73K</v>
      </c>
      <c r="B74" s="108">
        <f ca="1">IFERROR(__xludf.DUMMYFUNCTION("""COMPUTED_VALUE"""),86)</f>
        <v>86</v>
      </c>
      <c r="C74" s="108">
        <f ca="1">IFERROR(__xludf.DUMMYFUNCTION("""COMPUTED_VALUE"""),50)</f>
        <v>50</v>
      </c>
    </row>
    <row r="75" spans="1:3" ht="15" customHeight="1" x14ac:dyDescent="0.25">
      <c r="A75" s="108" t="str">
        <f ca="1">IFERROR(__xludf.DUMMYFUNCTION("""COMPUTED_VALUE"""),"74K")</f>
        <v>74K</v>
      </c>
      <c r="B75" s="108" t="str">
        <f ca="1">IFERROR(__xludf.DUMMYFUNCTION("""COMPUTED_VALUE"""),"N.A.")</f>
        <v>N.A.</v>
      </c>
      <c r="C75" s="108" t="str">
        <f ca="1">IFERROR(__xludf.DUMMYFUNCTION("""COMPUTED_VALUE"""),"N.A.")</f>
        <v>N.A.</v>
      </c>
    </row>
    <row r="76" spans="1:3" ht="15" customHeight="1" x14ac:dyDescent="0.25">
      <c r="A76" s="108" t="str">
        <f ca="1">IFERROR(__xludf.DUMMYFUNCTION("""COMPUTED_VALUE"""),"75K")</f>
        <v>75K</v>
      </c>
      <c r="B76" s="108">
        <f ca="1">IFERROR(__xludf.DUMMYFUNCTION("""COMPUTED_VALUE"""),137)</f>
        <v>137</v>
      </c>
      <c r="C76" s="108">
        <f ca="1">IFERROR(__xludf.DUMMYFUNCTION("""COMPUTED_VALUE"""),0)</f>
        <v>0</v>
      </c>
    </row>
    <row r="77" spans="1:3" ht="14.25" customHeight="1" x14ac:dyDescent="0.25">
      <c r="A77" s="108" t="str">
        <f ca="1">IFERROR(__xludf.DUMMYFUNCTION("""COMPUTED_VALUE"""),"77P")</f>
        <v>77P</v>
      </c>
      <c r="B77" s="108" t="str">
        <f ca="1">IFERROR(__xludf.DUMMYFUNCTION("""COMPUTED_VALUE"""),"N.A.")</f>
        <v>N.A.</v>
      </c>
      <c r="C77" s="108" t="str">
        <f ca="1">IFERROR(__xludf.DUMMYFUNCTION("""COMPUTED_VALUE"""),"N.A.")</f>
        <v>N.A.</v>
      </c>
    </row>
    <row r="78" spans="1:3" ht="14.25" customHeight="1" x14ac:dyDescent="0.25">
      <c r="A78" s="108" t="str">
        <f ca="1">IFERROR(__xludf.DUMMYFUNCTION("""COMPUTED_VALUE"""),"78K")</f>
        <v>78K</v>
      </c>
      <c r="B78" s="108">
        <f ca="1">IFERROR(__xludf.DUMMYFUNCTION("""COMPUTED_VALUE"""),106)</f>
        <v>106</v>
      </c>
      <c r="C78" s="108">
        <f ca="1">IFERROR(__xludf.DUMMYFUNCTION("""COMPUTED_VALUE"""),0)</f>
        <v>0</v>
      </c>
    </row>
    <row r="79" spans="1:3" ht="14.25" customHeight="1" x14ac:dyDescent="0.25">
      <c r="A79" s="108" t="str">
        <f ca="1">IFERROR(__xludf.DUMMYFUNCTION("""COMPUTED_VALUE"""),"79P")</f>
        <v>79P</v>
      </c>
      <c r="B79" s="108">
        <f ca="1">IFERROR(__xludf.DUMMYFUNCTION("""COMPUTED_VALUE"""),93)</f>
        <v>93</v>
      </c>
      <c r="C79" s="108">
        <f ca="1">IFERROR(__xludf.DUMMYFUNCTION("""COMPUTED_VALUE"""),0)</f>
        <v>0</v>
      </c>
    </row>
    <row r="80" spans="1:3" ht="14.25" customHeight="1" x14ac:dyDescent="0.25">
      <c r="A80" s="108" t="str">
        <f ca="1">IFERROR(__xludf.DUMMYFUNCTION("""COMPUTED_VALUE"""),"80P")</f>
        <v>80P</v>
      </c>
      <c r="B80" s="108" t="str">
        <f ca="1">IFERROR(__xludf.DUMMYFUNCTION("""COMPUTED_VALUE"""),"N.A.")</f>
        <v>N.A.</v>
      </c>
      <c r="C80" s="108" t="str">
        <f ca="1">IFERROR(__xludf.DUMMYFUNCTION("""COMPUTED_VALUE"""),"N.A.")</f>
        <v>N.A.</v>
      </c>
    </row>
    <row r="81" spans="1:3" ht="14.25" customHeight="1" x14ac:dyDescent="0.25">
      <c r="A81" s="108" t="str">
        <f ca="1">IFERROR(__xludf.DUMMYFUNCTION("""COMPUTED_VALUE"""),"82K")</f>
        <v>82K</v>
      </c>
      <c r="B81" s="108" t="str">
        <f ca="1">IFERROR(__xludf.DUMMYFUNCTION("""COMPUTED_VALUE"""),"N.A.")</f>
        <v>N.A.</v>
      </c>
      <c r="C81" s="108" t="str">
        <f ca="1">IFERROR(__xludf.DUMMYFUNCTION("""COMPUTED_VALUE"""),"N.A.")</f>
        <v>N.A.</v>
      </c>
    </row>
    <row r="82" spans="1:3" ht="14.25" customHeight="1" x14ac:dyDescent="0.25">
      <c r="A82" s="108" t="str">
        <f ca="1">IFERROR(__xludf.DUMMYFUNCTION("""COMPUTED_VALUE"""),"85P")</f>
        <v>85P</v>
      </c>
      <c r="B82" s="108">
        <f ca="1">IFERROR(__xludf.DUMMYFUNCTION("""COMPUTED_VALUE"""),95)</f>
        <v>95</v>
      </c>
      <c r="C82" s="108">
        <f ca="1">IFERROR(__xludf.DUMMYFUNCTION("""COMPUTED_VALUE"""),0)</f>
        <v>0</v>
      </c>
    </row>
    <row r="83" spans="1:3" ht="14.25" customHeight="1" x14ac:dyDescent="0.25">
      <c r="A83" s="108" t="str">
        <f ca="1">IFERROR(__xludf.DUMMYFUNCTION("""COMPUTED_VALUE"""),"86K")</f>
        <v>86K</v>
      </c>
      <c r="B83" s="108">
        <f ca="1">IFERROR(__xludf.DUMMYFUNCTION("""COMPUTED_VALUE"""),72)</f>
        <v>72</v>
      </c>
      <c r="C83" s="108">
        <f ca="1">IFERROR(__xludf.DUMMYFUNCTION("""COMPUTED_VALUE"""),0)</f>
        <v>0</v>
      </c>
    </row>
    <row r="84" spans="1:3" ht="14.25" customHeight="1" x14ac:dyDescent="0.25">
      <c r="A84" s="108" t="str">
        <f ca="1">IFERROR(__xludf.DUMMYFUNCTION("""COMPUTED_VALUE"""),"87P")</f>
        <v>87P</v>
      </c>
      <c r="B84" s="108">
        <f ca="1">IFERROR(__xludf.DUMMYFUNCTION("""COMPUTED_VALUE"""),88)</f>
        <v>88</v>
      </c>
      <c r="C84" s="108">
        <f ca="1">IFERROR(__xludf.DUMMYFUNCTION("""COMPUTED_VALUE"""),10)</f>
        <v>10</v>
      </c>
    </row>
    <row r="85" spans="1:3" ht="14.25" customHeight="1" x14ac:dyDescent="0.25">
      <c r="A85" s="108" t="str">
        <f ca="1">IFERROR(__xludf.DUMMYFUNCTION("""COMPUTED_VALUE"""),"88K")</f>
        <v>88K</v>
      </c>
      <c r="B85" s="108" t="str">
        <f ca="1">IFERROR(__xludf.DUMMYFUNCTION("""COMPUTED_VALUE"""),"N.A.")</f>
        <v>N.A.</v>
      </c>
      <c r="C85" s="108" t="str">
        <f ca="1">IFERROR(__xludf.DUMMYFUNCTION("""COMPUTED_VALUE"""),"N.A.")</f>
        <v>N.A.</v>
      </c>
    </row>
    <row r="86" spans="1:3" ht="14.25" customHeight="1" x14ac:dyDescent="0.25">
      <c r="A86" s="108" t="str">
        <f ca="1">IFERROR(__xludf.DUMMYFUNCTION("""COMPUTED_VALUE"""),"89P")</f>
        <v>89P</v>
      </c>
      <c r="B86" s="108" t="str">
        <f ca="1">IFERROR(__xludf.DUMMYFUNCTION("""COMPUTED_VALUE"""),"N.A.")</f>
        <v>N.A.</v>
      </c>
      <c r="C86" s="108" t="str">
        <f ca="1">IFERROR(__xludf.DUMMYFUNCTION("""COMPUTED_VALUE"""),"N.A.")</f>
        <v>N.A.</v>
      </c>
    </row>
    <row r="87" spans="1:3" ht="14.25" customHeight="1" x14ac:dyDescent="0.25">
      <c r="A87" s="108" t="str">
        <f ca="1">IFERROR(__xludf.DUMMYFUNCTION("""COMPUTED_VALUE"""),"91K")</f>
        <v>91K</v>
      </c>
      <c r="B87" s="108">
        <f ca="1">IFERROR(__xludf.DUMMYFUNCTION("""COMPUTED_VALUE"""),100)</f>
        <v>100</v>
      </c>
      <c r="C87" s="108">
        <f ca="1">IFERROR(__xludf.DUMMYFUNCTION("""COMPUTED_VALUE"""),0)</f>
        <v>0</v>
      </c>
    </row>
    <row r="88" spans="1:3" ht="14.25" customHeight="1" x14ac:dyDescent="0.25">
      <c r="A88" s="108" t="str">
        <f ca="1">IFERROR(__xludf.DUMMYFUNCTION("""COMPUTED_VALUE"""),"92P")</f>
        <v>92P</v>
      </c>
      <c r="B88" s="108" t="str">
        <f ca="1">IFERROR(__xludf.DUMMYFUNCTION("""COMPUTED_VALUE"""),"N.A.")</f>
        <v>N.A.</v>
      </c>
      <c r="C88" s="108" t="str">
        <f ca="1">IFERROR(__xludf.DUMMYFUNCTION("""COMPUTED_VALUE"""),"N.A.")</f>
        <v>N.A.</v>
      </c>
    </row>
    <row r="89" spans="1:3" ht="14.25" customHeight="1" x14ac:dyDescent="0.25">
      <c r="A89" s="108" t="str">
        <f ca="1">IFERROR(__xludf.DUMMYFUNCTION("""COMPUTED_VALUE"""),"96P")</f>
        <v>96P</v>
      </c>
      <c r="B89" s="108">
        <f ca="1">IFERROR(__xludf.DUMMYFUNCTION("""COMPUTED_VALUE"""),85)</f>
        <v>85</v>
      </c>
      <c r="C89" s="108">
        <f ca="1">IFERROR(__xludf.DUMMYFUNCTION("""COMPUTED_VALUE"""),7)</f>
        <v>7</v>
      </c>
    </row>
    <row r="90" spans="1:3" ht="14.25" customHeight="1" x14ac:dyDescent="0.25">
      <c r="A90" s="108" t="str">
        <f ca="1">IFERROR(__xludf.DUMMYFUNCTION("""COMPUTED_VALUE"""),"97P")</f>
        <v>97P</v>
      </c>
      <c r="B90" s="108">
        <f ca="1">IFERROR(__xludf.DUMMYFUNCTION("""COMPUTED_VALUE"""),77)</f>
        <v>77</v>
      </c>
      <c r="C90" s="108">
        <f ca="1">IFERROR(__xludf.DUMMYFUNCTION("""COMPUTED_VALUE"""),0)</f>
        <v>0</v>
      </c>
    </row>
    <row r="91" spans="1:3" ht="14.25" customHeight="1" x14ac:dyDescent="0.25">
      <c r="A91" s="108" t="str">
        <f ca="1">IFERROR(__xludf.DUMMYFUNCTION("""COMPUTED_VALUE"""),"98P")</f>
        <v>98P</v>
      </c>
      <c r="B91" s="108">
        <f ca="1">IFERROR(__xludf.DUMMYFUNCTION("""COMPUTED_VALUE"""),107)</f>
        <v>107</v>
      </c>
      <c r="C91" s="108">
        <f ca="1">IFERROR(__xludf.DUMMYFUNCTION("""COMPUTED_VALUE"""),1)</f>
        <v>1</v>
      </c>
    </row>
    <row r="92" spans="1:3" ht="14.25" customHeight="1" x14ac:dyDescent="0.25">
      <c r="A92" s="108" t="str">
        <f ca="1">IFERROR(__xludf.DUMMYFUNCTION("""COMPUTED_VALUE"""),"100P")</f>
        <v>100P</v>
      </c>
      <c r="B92" s="108">
        <f ca="1">IFERROR(__xludf.DUMMYFUNCTION("""COMPUTED_VALUE"""),99)</f>
        <v>99</v>
      </c>
      <c r="C92" s="108">
        <f ca="1">IFERROR(__xludf.DUMMYFUNCTION("""COMPUTED_VALUE"""),1)</f>
        <v>1</v>
      </c>
    </row>
    <row r="93" spans="1:3" ht="14.25" customHeight="1" x14ac:dyDescent="0.25">
      <c r="A93" s="108" t="str">
        <f ca="1">IFERROR(__xludf.DUMMYFUNCTION("""COMPUTED_VALUE"""),"101P")</f>
        <v>101P</v>
      </c>
      <c r="B93" s="108" t="str">
        <f ca="1">IFERROR(__xludf.DUMMYFUNCTION("""COMPUTED_VALUE"""),"N.A.")</f>
        <v>N.A.</v>
      </c>
      <c r="C93" s="108" t="str">
        <f ca="1">IFERROR(__xludf.DUMMYFUNCTION("""COMPUTED_VALUE"""),"N.A.")</f>
        <v>N.A.</v>
      </c>
    </row>
    <row r="94" spans="1:3" ht="14.25" customHeight="1" x14ac:dyDescent="0.25">
      <c r="A94" s="108" t="str">
        <f ca="1">IFERROR(__xludf.DUMMYFUNCTION("""COMPUTED_VALUE"""),"102P")</f>
        <v>102P</v>
      </c>
      <c r="B94" s="108" t="str">
        <f ca="1">IFERROR(__xludf.DUMMYFUNCTION("""COMPUTED_VALUE"""),"N.A.")</f>
        <v>N.A.</v>
      </c>
      <c r="C94" s="108" t="str">
        <f ca="1">IFERROR(__xludf.DUMMYFUNCTION("""COMPUTED_VALUE"""),"N.A.")</f>
        <v>N.A.</v>
      </c>
    </row>
    <row r="95" spans="1:3" ht="14.25" customHeight="1" x14ac:dyDescent="0.25">
      <c r="A95" s="108" t="str">
        <f ca="1">IFERROR(__xludf.DUMMYFUNCTION("""COMPUTED_VALUE"""),"103K")</f>
        <v>103K</v>
      </c>
      <c r="B95" s="108">
        <f ca="1">IFERROR(__xludf.DUMMYFUNCTION("""COMPUTED_VALUE"""),52)</f>
        <v>52</v>
      </c>
      <c r="C95" s="108">
        <f ca="1">IFERROR(__xludf.DUMMYFUNCTION("""COMPUTED_VALUE"""),1)</f>
        <v>1</v>
      </c>
    </row>
    <row r="96" spans="1:3" ht="14.25" customHeight="1" x14ac:dyDescent="0.25">
      <c r="A96" s="108" t="str">
        <f ca="1">IFERROR(__xludf.DUMMYFUNCTION("""COMPUTED_VALUE"""),"104K")</f>
        <v>104K</v>
      </c>
      <c r="B96" s="108" t="str">
        <f ca="1">IFERROR(__xludf.DUMMYFUNCTION("""COMPUTED_VALUE"""),"N.A.")</f>
        <v>N.A.</v>
      </c>
      <c r="C96" s="108" t="str">
        <f ca="1">IFERROR(__xludf.DUMMYFUNCTION("""COMPUTED_VALUE"""),"N.A.")</f>
        <v>N.A.</v>
      </c>
    </row>
    <row r="97" spans="1:3" ht="14.25" customHeight="1" x14ac:dyDescent="0.25">
      <c r="A97" s="108" t="str">
        <f ca="1">IFERROR(__xludf.DUMMYFUNCTION("""COMPUTED_VALUE"""),"105P")</f>
        <v>105P</v>
      </c>
      <c r="B97" s="108" t="str">
        <f ca="1">IFERROR(__xludf.DUMMYFUNCTION("""COMPUTED_VALUE"""),"N.A.")</f>
        <v>N.A.</v>
      </c>
      <c r="C97" s="108" t="str">
        <f ca="1">IFERROR(__xludf.DUMMYFUNCTION("""COMPUTED_VALUE"""),"N.A.")</f>
        <v>N.A.</v>
      </c>
    </row>
    <row r="98" spans="1:3" ht="14.25" customHeight="1" x14ac:dyDescent="0.25">
      <c r="A98" s="108" t="str">
        <f ca="1">IFERROR(__xludf.DUMMYFUNCTION("""COMPUTED_VALUE"""),"106K")</f>
        <v>106K</v>
      </c>
      <c r="B98" s="108">
        <f ca="1">IFERROR(__xludf.DUMMYFUNCTION("""COMPUTED_VALUE"""),112)</f>
        <v>112</v>
      </c>
      <c r="C98" s="108">
        <f ca="1">IFERROR(__xludf.DUMMYFUNCTION("""COMPUTED_VALUE"""),12)</f>
        <v>12</v>
      </c>
    </row>
    <row r="99" spans="1:3" ht="14.25" customHeight="1" x14ac:dyDescent="0.25">
      <c r="A99" s="108" t="str">
        <f ca="1">IFERROR(__xludf.DUMMYFUNCTION("""COMPUTED_VALUE"""),"108K")</f>
        <v>108K</v>
      </c>
      <c r="B99" s="108">
        <f ca="1">IFERROR(__xludf.DUMMYFUNCTION("""COMPUTED_VALUE"""),108)</f>
        <v>108</v>
      </c>
      <c r="C99" s="108">
        <f ca="1">IFERROR(__xludf.DUMMYFUNCTION("""COMPUTED_VALUE"""),0)</f>
        <v>0</v>
      </c>
    </row>
    <row r="100" spans="1:3" ht="14.25" customHeight="1" x14ac:dyDescent="0.25">
      <c r="A100" s="108" t="str">
        <f ca="1">IFERROR(__xludf.DUMMYFUNCTION("""COMPUTED_VALUE"""),"109K")</f>
        <v>109K</v>
      </c>
      <c r="B100" s="108" t="str">
        <f ca="1">IFERROR(__xludf.DUMMYFUNCTION("""COMPUTED_VALUE"""),"N.A.")</f>
        <v>N.A.</v>
      </c>
      <c r="C100" s="108" t="str">
        <f ca="1">IFERROR(__xludf.DUMMYFUNCTION("""COMPUTED_VALUE"""),"N.A.")</f>
        <v>N.A.</v>
      </c>
    </row>
    <row r="101" spans="1:3" ht="14.25" customHeight="1" x14ac:dyDescent="0.25">
      <c r="A101" s="108" t="str">
        <f ca="1">IFERROR(__xludf.DUMMYFUNCTION("""COMPUTED_VALUE"""),"111K")</f>
        <v>111K</v>
      </c>
      <c r="B101" s="108">
        <f ca="1">IFERROR(__xludf.DUMMYFUNCTION("""COMPUTED_VALUE"""),45)</f>
        <v>45</v>
      </c>
      <c r="C101" s="108">
        <f ca="1">IFERROR(__xludf.DUMMYFUNCTION("""COMPUTED_VALUE"""),5)</f>
        <v>5</v>
      </c>
    </row>
    <row r="102" spans="1:3" ht="14.25" customHeight="1" x14ac:dyDescent="0.25">
      <c r="A102" s="108" t="str">
        <f ca="1">IFERROR(__xludf.DUMMYFUNCTION("""COMPUTED_VALUE"""),"113K")</f>
        <v>113K</v>
      </c>
      <c r="B102" s="108" t="str">
        <f ca="1">IFERROR(__xludf.DUMMYFUNCTION("""COMPUTED_VALUE"""),"N.A.")</f>
        <v>N.A.</v>
      </c>
      <c r="C102" s="108" t="str">
        <f ca="1">IFERROR(__xludf.DUMMYFUNCTION("""COMPUTED_VALUE"""),"N.A.")</f>
        <v>N.A.</v>
      </c>
    </row>
    <row r="103" spans="1:3" ht="14.25" customHeight="1" x14ac:dyDescent="0.25">
      <c r="A103" s="108" t="str">
        <f ca="1">IFERROR(__xludf.DUMMYFUNCTION("""COMPUTED_VALUE"""),"114P")</f>
        <v>114P</v>
      </c>
      <c r="B103" s="108">
        <f ca="1">IFERROR(__xludf.DUMMYFUNCTION("""COMPUTED_VALUE"""),68)</f>
        <v>68</v>
      </c>
      <c r="C103" s="108">
        <f ca="1">IFERROR(__xludf.DUMMYFUNCTION("""COMPUTED_VALUE"""),0)</f>
        <v>0</v>
      </c>
    </row>
    <row r="104" spans="1:3" ht="14.25" customHeight="1" x14ac:dyDescent="0.25">
      <c r="A104" s="108" t="str">
        <f ca="1">IFERROR(__xludf.DUMMYFUNCTION("""COMPUTED_VALUE"""),"115K")</f>
        <v>115K</v>
      </c>
      <c r="B104" s="108" t="str">
        <f ca="1">IFERROR(__xludf.DUMMYFUNCTION("""COMPUTED_VALUE"""),"N.A.")</f>
        <v>N.A.</v>
      </c>
      <c r="C104" s="108" t="str">
        <f ca="1">IFERROR(__xludf.DUMMYFUNCTION("""COMPUTED_VALUE"""),"N.A.")</f>
        <v>N.A.</v>
      </c>
    </row>
    <row r="105" spans="1:3" ht="14.25" customHeight="1" x14ac:dyDescent="0.25">
      <c r="A105" s="108" t="str">
        <f ca="1">IFERROR(__xludf.DUMMYFUNCTION("""COMPUTED_VALUE"""),"120P")</f>
        <v>120P</v>
      </c>
      <c r="B105" s="108">
        <f ca="1">IFERROR(__xludf.DUMMYFUNCTION("""COMPUTED_VALUE"""),92)</f>
        <v>92</v>
      </c>
      <c r="C105" s="108">
        <f ca="1">IFERROR(__xludf.DUMMYFUNCTION("""COMPUTED_VALUE"""),0)</f>
        <v>0</v>
      </c>
    </row>
    <row r="106" spans="1:3" ht="14.25" customHeight="1" x14ac:dyDescent="0.25">
      <c r="A106" s="108" t="str">
        <f ca="1">IFERROR(__xludf.DUMMYFUNCTION("""COMPUTED_VALUE"""),"121P")</f>
        <v>121P</v>
      </c>
      <c r="B106" s="108" t="str">
        <f ca="1">IFERROR(__xludf.DUMMYFUNCTION("""COMPUTED_VALUE"""),"N.A.")</f>
        <v>N.A.</v>
      </c>
      <c r="C106" s="108" t="str">
        <f ca="1">IFERROR(__xludf.DUMMYFUNCTION("""COMPUTED_VALUE"""),"N.A.")</f>
        <v>N.A.</v>
      </c>
    </row>
    <row r="107" spans="1:3" ht="14.25" customHeight="1" x14ac:dyDescent="0.25">
      <c r="A107" s="108" t="str">
        <f ca="1">IFERROR(__xludf.DUMMYFUNCTION("""COMPUTED_VALUE"""),"122K")</f>
        <v>122K</v>
      </c>
      <c r="B107" s="108" t="str">
        <f ca="1">IFERROR(__xludf.DUMMYFUNCTION("""COMPUTED_VALUE"""),"N.A.")</f>
        <v>N.A.</v>
      </c>
      <c r="C107" s="108" t="str">
        <f ca="1">IFERROR(__xludf.DUMMYFUNCTION("""COMPUTED_VALUE"""),"N.A.")</f>
        <v>N.A.</v>
      </c>
    </row>
    <row r="108" spans="1:3" ht="14.25" customHeight="1" x14ac:dyDescent="0.25">
      <c r="A108" s="108" t="str">
        <f ca="1">IFERROR(__xludf.DUMMYFUNCTION("""COMPUTED_VALUE"""),"123K")</f>
        <v>123K</v>
      </c>
      <c r="B108" s="108">
        <f ca="1">IFERROR(__xludf.DUMMYFUNCTION("""COMPUTED_VALUE"""),82)</f>
        <v>82</v>
      </c>
      <c r="C108" s="108">
        <f ca="1">IFERROR(__xludf.DUMMYFUNCTION("""COMPUTED_VALUE"""),0)</f>
        <v>0</v>
      </c>
    </row>
    <row r="109" spans="1:3" ht="14.25" customHeight="1" x14ac:dyDescent="0.25">
      <c r="A109" s="108" t="str">
        <f ca="1">IFERROR(__xludf.DUMMYFUNCTION("""COMPUTED_VALUE"""),"124P")</f>
        <v>124P</v>
      </c>
      <c r="B109" s="108" t="str">
        <f ca="1">IFERROR(__xludf.DUMMYFUNCTION("""COMPUTED_VALUE"""),"N.A.")</f>
        <v>N.A.</v>
      </c>
      <c r="C109" s="108" t="str">
        <f ca="1">IFERROR(__xludf.DUMMYFUNCTION("""COMPUTED_VALUE"""),"N.A.")</f>
        <v>N.A.</v>
      </c>
    </row>
    <row r="110" spans="1:3" ht="14.25" customHeight="1" x14ac:dyDescent="0.25">
      <c r="A110" s="108" t="str">
        <f ca="1">IFERROR(__xludf.DUMMYFUNCTION("""COMPUTED_VALUE"""),"125P")</f>
        <v>125P</v>
      </c>
      <c r="B110" s="108">
        <f ca="1">IFERROR(__xludf.DUMMYFUNCTION("""COMPUTED_VALUE"""),84)</f>
        <v>84</v>
      </c>
      <c r="C110" s="108">
        <f ca="1">IFERROR(__xludf.DUMMYFUNCTION("""COMPUTED_VALUE"""),0)</f>
        <v>0</v>
      </c>
    </row>
    <row r="111" spans="1:3" ht="14.25" customHeight="1" x14ac:dyDescent="0.25">
      <c r="A111" s="108" t="str">
        <f ca="1">IFERROR(__xludf.DUMMYFUNCTION("""COMPUTED_VALUE"""),"126K")</f>
        <v>126K</v>
      </c>
      <c r="B111" s="108">
        <f ca="1">IFERROR(__xludf.DUMMYFUNCTION("""COMPUTED_VALUE"""),98)</f>
        <v>98</v>
      </c>
      <c r="C111" s="108">
        <f ca="1">IFERROR(__xludf.DUMMYFUNCTION("""COMPUTED_VALUE"""),1)</f>
        <v>1</v>
      </c>
    </row>
    <row r="112" spans="1:3" ht="14.25" customHeight="1" x14ac:dyDescent="0.25">
      <c r="A112" s="108" t="str">
        <f ca="1">IFERROR(__xludf.DUMMYFUNCTION("""COMPUTED_VALUE"""),"127K")</f>
        <v>127K</v>
      </c>
      <c r="B112" s="108">
        <f ca="1">IFERROR(__xludf.DUMMYFUNCTION("""COMPUTED_VALUE"""),118)</f>
        <v>118</v>
      </c>
      <c r="C112" s="108">
        <f ca="1">IFERROR(__xludf.DUMMYFUNCTION("""COMPUTED_VALUE"""),5)</f>
        <v>5</v>
      </c>
    </row>
    <row r="113" spans="1:3" ht="14.25" customHeight="1" x14ac:dyDescent="0.25">
      <c r="A113" s="108" t="str">
        <f ca="1">IFERROR(__xludf.DUMMYFUNCTION("""COMPUTED_VALUE"""),"128K")</f>
        <v>128K</v>
      </c>
      <c r="B113" s="108">
        <f ca="1">IFERROR(__xludf.DUMMYFUNCTION("""COMPUTED_VALUE"""),81)</f>
        <v>81</v>
      </c>
      <c r="C113" s="108">
        <f ca="1">IFERROR(__xludf.DUMMYFUNCTION("""COMPUTED_VALUE"""),8)</f>
        <v>8</v>
      </c>
    </row>
    <row r="114" spans="1:3" ht="14.25" customHeight="1" x14ac:dyDescent="0.25">
      <c r="A114" s="108" t="str">
        <f ca="1">IFERROR(__xludf.DUMMYFUNCTION("""COMPUTED_VALUE"""),"129K")</f>
        <v>129K</v>
      </c>
      <c r="B114" s="108" t="str">
        <f ca="1">IFERROR(__xludf.DUMMYFUNCTION("""COMPUTED_VALUE"""),"N.A.")</f>
        <v>N.A.</v>
      </c>
      <c r="C114" s="108" t="str">
        <f ca="1">IFERROR(__xludf.DUMMYFUNCTION("""COMPUTED_VALUE"""),"N.A.")</f>
        <v>N.A.</v>
      </c>
    </row>
    <row r="115" spans="1:3" ht="14.25" customHeight="1" x14ac:dyDescent="0.25">
      <c r="A115" s="108" t="str">
        <f ca="1">IFERROR(__xludf.DUMMYFUNCTION("""COMPUTED_VALUE"""),"130P")</f>
        <v>130P</v>
      </c>
      <c r="B115" s="108" t="str">
        <f ca="1">IFERROR(__xludf.DUMMYFUNCTION("""COMPUTED_VALUE"""),"N.A.")</f>
        <v>N.A.</v>
      </c>
      <c r="C115" s="108" t="str">
        <f ca="1">IFERROR(__xludf.DUMMYFUNCTION("""COMPUTED_VALUE"""),"N.A.")</f>
        <v>N.A.</v>
      </c>
    </row>
    <row r="116" spans="1:3" ht="14.25" customHeight="1" x14ac:dyDescent="0.25">
      <c r="A116" s="108" t="str">
        <f ca="1">IFERROR(__xludf.DUMMYFUNCTION("""COMPUTED_VALUE"""),"131P")</f>
        <v>131P</v>
      </c>
      <c r="B116" s="108" t="str">
        <f ca="1">IFERROR(__xludf.DUMMYFUNCTION("""COMPUTED_VALUE"""),"N.A.")</f>
        <v>N.A.</v>
      </c>
      <c r="C116" s="108" t="str">
        <f ca="1">IFERROR(__xludf.DUMMYFUNCTION("""COMPUTED_VALUE"""),"N.A.")</f>
        <v>N.A.</v>
      </c>
    </row>
    <row r="117" spans="1:3" ht="14.25" customHeight="1" x14ac:dyDescent="0.25">
      <c r="A117" s="108" t="str">
        <f ca="1">IFERROR(__xludf.DUMMYFUNCTION("""COMPUTED_VALUE"""),"133K")</f>
        <v>133K</v>
      </c>
      <c r="B117" s="108">
        <f ca="1">IFERROR(__xludf.DUMMYFUNCTION("""COMPUTED_VALUE"""),75)</f>
        <v>75</v>
      </c>
      <c r="C117" s="108">
        <f ca="1">IFERROR(__xludf.DUMMYFUNCTION("""COMPUTED_VALUE"""),0)</f>
        <v>0</v>
      </c>
    </row>
    <row r="118" spans="1:3" ht="14.25" customHeight="1" x14ac:dyDescent="0.25">
      <c r="A118" s="108" t="str">
        <f ca="1">IFERROR(__xludf.DUMMYFUNCTION("""COMPUTED_VALUE"""),"135K")</f>
        <v>135K</v>
      </c>
      <c r="B118" s="108" t="str">
        <f ca="1">IFERROR(__xludf.DUMMYFUNCTION("""COMPUTED_VALUE"""),"N.A.")</f>
        <v>N.A.</v>
      </c>
      <c r="C118" s="108" t="str">
        <f ca="1">IFERROR(__xludf.DUMMYFUNCTION("""COMPUTED_VALUE"""),"N.A.")</f>
        <v>N.A.</v>
      </c>
    </row>
    <row r="119" spans="1:3" ht="14.25" customHeight="1" x14ac:dyDescent="0.25">
      <c r="A119" s="108" t="str">
        <f ca="1">IFERROR(__xludf.DUMMYFUNCTION("""COMPUTED_VALUE"""),"136K")</f>
        <v>136K</v>
      </c>
      <c r="B119" s="108">
        <f ca="1">IFERROR(__xludf.DUMMYFUNCTION("""COMPUTED_VALUE"""),84)</f>
        <v>84</v>
      </c>
      <c r="C119" s="108">
        <f ca="1">IFERROR(__xludf.DUMMYFUNCTION("""COMPUTED_VALUE"""),0)</f>
        <v>0</v>
      </c>
    </row>
    <row r="120" spans="1:3" ht="14.25" customHeight="1" x14ac:dyDescent="0.25">
      <c r="A120" s="108" t="str">
        <f ca="1">IFERROR(__xludf.DUMMYFUNCTION("""COMPUTED_VALUE"""),"137K")</f>
        <v>137K</v>
      </c>
      <c r="B120" s="108" t="str">
        <f ca="1">IFERROR(__xludf.DUMMYFUNCTION("""COMPUTED_VALUE"""),"N.A.")</f>
        <v>N.A.</v>
      </c>
      <c r="C120" s="108" t="str">
        <f ca="1">IFERROR(__xludf.DUMMYFUNCTION("""COMPUTED_VALUE"""),"N.A.")</f>
        <v>N.A.</v>
      </c>
    </row>
    <row r="121" spans="1:3" ht="14.25" customHeight="1" x14ac:dyDescent="0.25">
      <c r="A121" s="108" t="str">
        <f ca="1">IFERROR(__xludf.DUMMYFUNCTION("""COMPUTED_VALUE"""),"140K")</f>
        <v>140K</v>
      </c>
      <c r="B121" s="108">
        <f ca="1">IFERROR(__xludf.DUMMYFUNCTION("""COMPUTED_VALUE"""),69)</f>
        <v>69</v>
      </c>
      <c r="C121" s="108">
        <f ca="1">IFERROR(__xludf.DUMMYFUNCTION("""COMPUTED_VALUE"""),0)</f>
        <v>0</v>
      </c>
    </row>
    <row r="122" spans="1:3" ht="14.25" customHeight="1" x14ac:dyDescent="0.25">
      <c r="A122" s="108" t="str">
        <f ca="1">IFERROR(__xludf.DUMMYFUNCTION("""COMPUTED_VALUE"""),"141K")</f>
        <v>141K</v>
      </c>
      <c r="B122" s="108" t="str">
        <f ca="1">IFERROR(__xludf.DUMMYFUNCTION("""COMPUTED_VALUE"""),"N.A.")</f>
        <v>N.A.</v>
      </c>
      <c r="C122" s="108" t="str">
        <f ca="1">IFERROR(__xludf.DUMMYFUNCTION("""COMPUTED_VALUE"""),"N.A.")</f>
        <v>N.A.</v>
      </c>
    </row>
    <row r="123" spans="1:3" ht="14.25" customHeight="1" x14ac:dyDescent="0.25">
      <c r="A123" s="108" t="str">
        <f ca="1">IFERROR(__xludf.DUMMYFUNCTION("""COMPUTED_VALUE"""),"142P")</f>
        <v>142P</v>
      </c>
      <c r="B123" s="108">
        <f ca="1">IFERROR(__xludf.DUMMYFUNCTION("""COMPUTED_VALUE"""),15)</f>
        <v>15</v>
      </c>
      <c r="C123" s="108">
        <f ca="1">IFERROR(__xludf.DUMMYFUNCTION("""COMPUTED_VALUE"""),0)</f>
        <v>0</v>
      </c>
    </row>
    <row r="124" spans="1:3" ht="14.25" customHeight="1" x14ac:dyDescent="0.25">
      <c r="A124" s="108" t="str">
        <f ca="1">IFERROR(__xludf.DUMMYFUNCTION("""COMPUTED_VALUE"""),"143P")</f>
        <v>143P</v>
      </c>
      <c r="B124" s="108">
        <f ca="1">IFERROR(__xludf.DUMMYFUNCTION("""COMPUTED_VALUE"""),82)</f>
        <v>82</v>
      </c>
      <c r="C124" s="108">
        <f ca="1">IFERROR(__xludf.DUMMYFUNCTION("""COMPUTED_VALUE"""),0)</f>
        <v>0</v>
      </c>
    </row>
    <row r="125" spans="1:3" ht="14.25" customHeight="1" x14ac:dyDescent="0.25">
      <c r="A125" s="108" t="str">
        <f ca="1">IFERROR(__xludf.DUMMYFUNCTION("""COMPUTED_VALUE"""),"144P")</f>
        <v>144P</v>
      </c>
      <c r="B125" s="108">
        <f ca="1">IFERROR(__xludf.DUMMYFUNCTION("""COMPUTED_VALUE"""),102)</f>
        <v>102</v>
      </c>
      <c r="C125" s="108">
        <f ca="1">IFERROR(__xludf.DUMMYFUNCTION("""COMPUTED_VALUE"""),0)</f>
        <v>0</v>
      </c>
    </row>
    <row r="126" spans="1:3" ht="14.25" customHeight="1" x14ac:dyDescent="0.25">
      <c r="A126" s="108" t="str">
        <f ca="1">IFERROR(__xludf.DUMMYFUNCTION("""COMPUTED_VALUE"""),"145K")</f>
        <v>145K</v>
      </c>
      <c r="B126" s="108">
        <f ca="1">IFERROR(__xludf.DUMMYFUNCTION("""COMPUTED_VALUE"""),100)</f>
        <v>100</v>
      </c>
      <c r="C126" s="108">
        <f ca="1">IFERROR(__xludf.DUMMYFUNCTION("""COMPUTED_VALUE"""),0)</f>
        <v>0</v>
      </c>
    </row>
    <row r="127" spans="1:3" ht="14.25" customHeight="1" x14ac:dyDescent="0.25">
      <c r="A127" s="108" t="str">
        <f ca="1">IFERROR(__xludf.DUMMYFUNCTION("""COMPUTED_VALUE"""),"146K")</f>
        <v>146K</v>
      </c>
      <c r="B127" s="108">
        <f ca="1">IFERROR(__xludf.DUMMYFUNCTION("""COMPUTED_VALUE"""),18)</f>
        <v>18</v>
      </c>
      <c r="C127" s="108">
        <f ca="1">IFERROR(__xludf.DUMMYFUNCTION("""COMPUTED_VALUE"""),0)</f>
        <v>0</v>
      </c>
    </row>
    <row r="128" spans="1:3" ht="14.25" customHeight="1" x14ac:dyDescent="0.25">
      <c r="A128" s="108" t="str">
        <f ca="1">IFERROR(__xludf.DUMMYFUNCTION("""COMPUTED_VALUE"""),"147K")</f>
        <v>147K</v>
      </c>
      <c r="B128" s="108" t="str">
        <f ca="1">IFERROR(__xludf.DUMMYFUNCTION("""COMPUTED_VALUE"""),"N.A.")</f>
        <v>N.A.</v>
      </c>
      <c r="C128" s="108" t="str">
        <f ca="1">IFERROR(__xludf.DUMMYFUNCTION("""COMPUTED_VALUE"""),"N.A.")</f>
        <v>N.A.</v>
      </c>
    </row>
    <row r="129" spans="1:3" ht="14.25" customHeight="1" x14ac:dyDescent="0.25">
      <c r="A129" s="108" t="str">
        <f ca="1">IFERROR(__xludf.DUMMYFUNCTION("""COMPUTED_VALUE"""),"149P")</f>
        <v>149P</v>
      </c>
      <c r="B129" s="108">
        <f ca="1">IFERROR(__xludf.DUMMYFUNCTION("""COMPUTED_VALUE"""),92)</f>
        <v>92</v>
      </c>
      <c r="C129" s="108">
        <f ca="1">IFERROR(__xludf.DUMMYFUNCTION("""COMPUTED_VALUE"""),2)</f>
        <v>2</v>
      </c>
    </row>
    <row r="130" spans="1:3" ht="14.25" customHeight="1" x14ac:dyDescent="0.25">
      <c r="A130" s="108" t="str">
        <f ca="1">IFERROR(__xludf.DUMMYFUNCTION("""COMPUTED_VALUE"""),"150K")</f>
        <v>150K</v>
      </c>
      <c r="B130" s="108" t="str">
        <f ca="1">IFERROR(__xludf.DUMMYFUNCTION("""COMPUTED_VALUE"""),"N.A.")</f>
        <v>N.A.</v>
      </c>
      <c r="C130" s="108" t="str">
        <f ca="1">IFERROR(__xludf.DUMMYFUNCTION("""COMPUTED_VALUE"""),"N.A.")</f>
        <v>N.A.</v>
      </c>
    </row>
    <row r="131" spans="1:3" ht="14.25" customHeight="1" x14ac:dyDescent="0.25">
      <c r="A131" s="108" t="str">
        <f ca="1">IFERROR(__xludf.DUMMYFUNCTION("""COMPUTED_VALUE"""),"151P")</f>
        <v>151P</v>
      </c>
      <c r="B131" s="108">
        <f ca="1">IFERROR(__xludf.DUMMYFUNCTION("""COMPUTED_VALUE"""),92)</f>
        <v>92</v>
      </c>
      <c r="C131" s="108">
        <f ca="1">IFERROR(__xludf.DUMMYFUNCTION("""COMPUTED_VALUE"""),0)</f>
        <v>0</v>
      </c>
    </row>
    <row r="132" spans="1:3" ht="14.25" customHeight="1" x14ac:dyDescent="0.25">
      <c r="A132" s="108" t="str">
        <f ca="1">IFERROR(__xludf.DUMMYFUNCTION("""COMPUTED_VALUE"""),"152P")</f>
        <v>152P</v>
      </c>
      <c r="B132" s="108">
        <f ca="1">IFERROR(__xludf.DUMMYFUNCTION("""COMPUTED_VALUE"""),67)</f>
        <v>67</v>
      </c>
      <c r="C132" s="108">
        <f ca="1">IFERROR(__xludf.DUMMYFUNCTION("""COMPUTED_VALUE"""),0)</f>
        <v>0</v>
      </c>
    </row>
    <row r="133" spans="1:3" ht="14.25" customHeight="1" x14ac:dyDescent="0.25">
      <c r="A133" s="108" t="str">
        <f ca="1">IFERROR(__xludf.DUMMYFUNCTION("""COMPUTED_VALUE"""),"153K")</f>
        <v>153K</v>
      </c>
      <c r="B133" s="108" t="str">
        <f ca="1">IFERROR(__xludf.DUMMYFUNCTION("""COMPUTED_VALUE"""),"N.A.")</f>
        <v>N.A.</v>
      </c>
      <c r="C133" s="108" t="str">
        <f ca="1">IFERROR(__xludf.DUMMYFUNCTION("""COMPUTED_VALUE"""),"N.A.")</f>
        <v>N.A.</v>
      </c>
    </row>
    <row r="134" spans="1:3" ht="14.25" customHeight="1" x14ac:dyDescent="0.25">
      <c r="A134" s="108" t="str">
        <f ca="1">IFERROR(__xludf.DUMMYFUNCTION("""COMPUTED_VALUE"""),"154K")</f>
        <v>154K</v>
      </c>
      <c r="B134" s="108">
        <f ca="1">IFERROR(__xludf.DUMMYFUNCTION("""COMPUTED_VALUE"""),92)</f>
        <v>92</v>
      </c>
      <c r="C134" s="108">
        <f ca="1">IFERROR(__xludf.DUMMYFUNCTION("""COMPUTED_VALUE"""),0)</f>
        <v>0</v>
      </c>
    </row>
    <row r="135" spans="1:3" ht="14.25" customHeight="1" x14ac:dyDescent="0.25">
      <c r="A135" s="108" t="str">
        <f ca="1">IFERROR(__xludf.DUMMYFUNCTION("""COMPUTED_VALUE"""),"155P")</f>
        <v>155P</v>
      </c>
      <c r="B135" s="108">
        <f ca="1">IFERROR(__xludf.DUMMYFUNCTION("""COMPUTED_VALUE"""),91)</f>
        <v>91</v>
      </c>
      <c r="C135" s="108">
        <f ca="1">IFERROR(__xludf.DUMMYFUNCTION("""COMPUTED_VALUE"""),0)</f>
        <v>0</v>
      </c>
    </row>
    <row r="136" spans="1:3" ht="14.25" customHeight="1" x14ac:dyDescent="0.25">
      <c r="A136" s="108" t="str">
        <f ca="1">IFERROR(__xludf.DUMMYFUNCTION("""COMPUTED_VALUE"""),"156K")</f>
        <v>156K</v>
      </c>
      <c r="B136" s="108">
        <f ca="1">IFERROR(__xludf.DUMMYFUNCTION("""COMPUTED_VALUE"""),53)</f>
        <v>53</v>
      </c>
      <c r="C136" s="108">
        <f ca="1">IFERROR(__xludf.DUMMYFUNCTION("""COMPUTED_VALUE"""),0)</f>
        <v>0</v>
      </c>
    </row>
    <row r="137" spans="1:3" ht="14.25" customHeight="1" x14ac:dyDescent="0.25">
      <c r="A137" s="108" t="str">
        <f ca="1">IFERROR(__xludf.DUMMYFUNCTION("""COMPUTED_VALUE"""),"157P")</f>
        <v>157P</v>
      </c>
      <c r="B137" s="108">
        <f ca="1">IFERROR(__xludf.DUMMYFUNCTION("""COMPUTED_VALUE"""),79)</f>
        <v>79</v>
      </c>
      <c r="C137" s="108">
        <f ca="1">IFERROR(__xludf.DUMMYFUNCTION("""COMPUTED_VALUE"""),0)</f>
        <v>0</v>
      </c>
    </row>
    <row r="138" spans="1:3" ht="14.25" customHeight="1" x14ac:dyDescent="0.25">
      <c r="A138" s="108" t="str">
        <f ca="1">IFERROR(__xludf.DUMMYFUNCTION("""COMPUTED_VALUE"""),"158K")</f>
        <v>158K</v>
      </c>
      <c r="B138" s="108" t="str">
        <f ca="1">IFERROR(__xludf.DUMMYFUNCTION("""COMPUTED_VALUE"""),"N.A.")</f>
        <v>N.A.</v>
      </c>
      <c r="C138" s="108" t="str">
        <f ca="1">IFERROR(__xludf.DUMMYFUNCTION("""COMPUTED_VALUE"""),"N.A.")</f>
        <v>N.A.</v>
      </c>
    </row>
    <row r="139" spans="1:3" ht="14.25" customHeight="1" x14ac:dyDescent="0.25">
      <c r="A139" s="108" t="str">
        <f ca="1">IFERROR(__xludf.DUMMYFUNCTION("""COMPUTED_VALUE"""),"159P")</f>
        <v>159P</v>
      </c>
      <c r="B139" s="108" t="str">
        <f ca="1">IFERROR(__xludf.DUMMYFUNCTION("""COMPUTED_VALUE"""),"N.A.")</f>
        <v>N.A.</v>
      </c>
      <c r="C139" s="108" t="str">
        <f ca="1">IFERROR(__xludf.DUMMYFUNCTION("""COMPUTED_VALUE"""),"N.A.")</f>
        <v>N.A.</v>
      </c>
    </row>
    <row r="140" spans="1:3" ht="14.25" customHeight="1" x14ac:dyDescent="0.25">
      <c r="A140" s="108" t="str">
        <f ca="1">IFERROR(__xludf.DUMMYFUNCTION("""COMPUTED_VALUE"""),"162P")</f>
        <v>162P</v>
      </c>
      <c r="B140" s="108" t="str">
        <f ca="1">IFERROR(__xludf.DUMMYFUNCTION("""COMPUTED_VALUE"""),"N.A.")</f>
        <v>N.A.</v>
      </c>
      <c r="C140" s="108" t="str">
        <f ca="1">IFERROR(__xludf.DUMMYFUNCTION("""COMPUTED_VALUE"""),"N.A.")</f>
        <v>N.A.</v>
      </c>
    </row>
    <row r="141" spans="1:3" ht="14.25" customHeight="1" x14ac:dyDescent="0.25">
      <c r="A141" s="108" t="str">
        <f ca="1">IFERROR(__xludf.DUMMYFUNCTION("""COMPUTED_VALUE"""),"164K")</f>
        <v>164K</v>
      </c>
      <c r="B141" s="108" t="str">
        <f ca="1">IFERROR(__xludf.DUMMYFUNCTION("""COMPUTED_VALUE"""),"N.A.")</f>
        <v>N.A.</v>
      </c>
      <c r="C141" s="108" t="str">
        <f ca="1">IFERROR(__xludf.DUMMYFUNCTION("""COMPUTED_VALUE"""),"N.A.")</f>
        <v>N.A.</v>
      </c>
    </row>
    <row r="142" spans="1:3" ht="14.25" customHeight="1" x14ac:dyDescent="0.25">
      <c r="A142" s="108" t="str">
        <f ca="1">IFERROR(__xludf.DUMMYFUNCTION("""COMPUTED_VALUE"""),"165K")</f>
        <v>165K</v>
      </c>
      <c r="B142" s="108">
        <f ca="1">IFERROR(__xludf.DUMMYFUNCTION("""COMPUTED_VALUE"""),98)</f>
        <v>98</v>
      </c>
      <c r="C142" s="108">
        <f ca="1">IFERROR(__xludf.DUMMYFUNCTION("""COMPUTED_VALUE"""),0)</f>
        <v>0</v>
      </c>
    </row>
    <row r="143" spans="1:3" ht="14.25" customHeight="1" x14ac:dyDescent="0.25">
      <c r="A143" s="108" t="str">
        <f ca="1">IFERROR(__xludf.DUMMYFUNCTION("""COMPUTED_VALUE"""),"167K")</f>
        <v>167K</v>
      </c>
      <c r="B143" s="108">
        <f ca="1">IFERROR(__xludf.DUMMYFUNCTION("""COMPUTED_VALUE"""),97)</f>
        <v>97</v>
      </c>
      <c r="C143" s="108">
        <f ca="1">IFERROR(__xludf.DUMMYFUNCTION("""COMPUTED_VALUE"""),3)</f>
        <v>3</v>
      </c>
    </row>
    <row r="144" spans="1:3" ht="14.25" customHeight="1" x14ac:dyDescent="0.25">
      <c r="A144" s="108" t="str">
        <f ca="1">IFERROR(__xludf.DUMMYFUNCTION("""COMPUTED_VALUE"""),"169P")</f>
        <v>169P</v>
      </c>
      <c r="B144" s="108">
        <f ca="1">IFERROR(__xludf.DUMMYFUNCTION("""COMPUTED_VALUE"""),79)</f>
        <v>79</v>
      </c>
      <c r="C144" s="108">
        <f ca="1">IFERROR(__xludf.DUMMYFUNCTION("""COMPUTED_VALUE"""),0)</f>
        <v>0</v>
      </c>
    </row>
    <row r="145" spans="1:3" ht="14.25" customHeight="1" x14ac:dyDescent="0.25">
      <c r="A145" s="108" t="str">
        <f ca="1">IFERROR(__xludf.DUMMYFUNCTION("""COMPUTED_VALUE"""),"170K")</f>
        <v>170K</v>
      </c>
      <c r="B145" s="108">
        <f ca="1">IFERROR(__xludf.DUMMYFUNCTION("""COMPUTED_VALUE"""),72)</f>
        <v>72</v>
      </c>
      <c r="C145" s="108">
        <f ca="1">IFERROR(__xludf.DUMMYFUNCTION("""COMPUTED_VALUE"""),0)</f>
        <v>0</v>
      </c>
    </row>
    <row r="146" spans="1:3" ht="14.25" customHeight="1" x14ac:dyDescent="0.25">
      <c r="A146" s="108" t="str">
        <f ca="1">IFERROR(__xludf.DUMMYFUNCTION("""COMPUTED_VALUE"""),"173P")</f>
        <v>173P</v>
      </c>
      <c r="B146" s="108">
        <f ca="1">IFERROR(__xludf.DUMMYFUNCTION("""COMPUTED_VALUE"""),77)</f>
        <v>77</v>
      </c>
      <c r="C146" s="108">
        <f ca="1">IFERROR(__xludf.DUMMYFUNCTION("""COMPUTED_VALUE"""),3)</f>
        <v>3</v>
      </c>
    </row>
    <row r="147" spans="1:3" ht="14.25" customHeight="1" x14ac:dyDescent="0.25">
      <c r="A147" s="108" t="str">
        <f ca="1">IFERROR(__xludf.DUMMYFUNCTION("""COMPUTED_VALUE"""),"174P")</f>
        <v>174P</v>
      </c>
      <c r="B147" s="108">
        <f ca="1">IFERROR(__xludf.DUMMYFUNCTION("""COMPUTED_VALUE"""),84)</f>
        <v>84</v>
      </c>
      <c r="C147" s="108">
        <f ca="1">IFERROR(__xludf.DUMMYFUNCTION("""COMPUTED_VALUE"""),2)</f>
        <v>2</v>
      </c>
    </row>
    <row r="148" spans="1:3" ht="14.25" customHeight="1" x14ac:dyDescent="0.25">
      <c r="A148" s="108" t="str">
        <f ca="1">IFERROR(__xludf.DUMMYFUNCTION("""COMPUTED_VALUE"""),"175K")</f>
        <v>175K</v>
      </c>
      <c r="B148" s="108" t="str">
        <f ca="1">IFERROR(__xludf.DUMMYFUNCTION("""COMPUTED_VALUE"""),"N.A.")</f>
        <v>N.A.</v>
      </c>
      <c r="C148" s="108" t="str">
        <f ca="1">IFERROR(__xludf.DUMMYFUNCTION("""COMPUTED_VALUE"""),"N.A.")</f>
        <v>N.A.</v>
      </c>
    </row>
    <row r="149" spans="1:3" ht="14.25" customHeight="1" x14ac:dyDescent="0.25">
      <c r="A149" s="108" t="str">
        <f ca="1">IFERROR(__xludf.DUMMYFUNCTION("""COMPUTED_VALUE"""),"176K")</f>
        <v>176K</v>
      </c>
      <c r="B149" s="108" t="str">
        <f ca="1">IFERROR(__xludf.DUMMYFUNCTION("""COMPUTED_VALUE"""),"N.A.")</f>
        <v>N.A.</v>
      </c>
      <c r="C149" s="108" t="str">
        <f ca="1">IFERROR(__xludf.DUMMYFUNCTION("""COMPUTED_VALUE"""),"N.A.")</f>
        <v>N.A.</v>
      </c>
    </row>
    <row r="150" spans="1:3" ht="14.25" customHeight="1" x14ac:dyDescent="0.25">
      <c r="A150" s="108" t="str">
        <f ca="1">IFERROR(__xludf.DUMMYFUNCTION("""COMPUTED_VALUE"""),"177P")</f>
        <v>177P</v>
      </c>
      <c r="B150" s="108">
        <f ca="1">IFERROR(__xludf.DUMMYFUNCTION("""COMPUTED_VALUE"""),90)</f>
        <v>90</v>
      </c>
      <c r="C150" s="108">
        <f ca="1">IFERROR(__xludf.DUMMYFUNCTION("""COMPUTED_VALUE"""),0)</f>
        <v>0</v>
      </c>
    </row>
    <row r="151" spans="1:3" ht="14.25" customHeight="1" x14ac:dyDescent="0.25">
      <c r="A151" s="108" t="str">
        <f ca="1">IFERROR(__xludf.DUMMYFUNCTION("""COMPUTED_VALUE"""),"178K")</f>
        <v>178K</v>
      </c>
      <c r="B151" s="108">
        <f ca="1">IFERROR(__xludf.DUMMYFUNCTION("""COMPUTED_VALUE"""),92)</f>
        <v>92</v>
      </c>
      <c r="C151" s="108">
        <f ca="1">IFERROR(__xludf.DUMMYFUNCTION("""COMPUTED_VALUE"""),0)</f>
        <v>0</v>
      </c>
    </row>
    <row r="152" spans="1:3" ht="14.25" customHeight="1" x14ac:dyDescent="0.25">
      <c r="A152" s="108" t="str">
        <f ca="1">IFERROR(__xludf.DUMMYFUNCTION("""COMPUTED_VALUE"""),"179P")</f>
        <v>179P</v>
      </c>
      <c r="B152" s="108" t="str">
        <f ca="1">IFERROR(__xludf.DUMMYFUNCTION("""COMPUTED_VALUE"""),"N.A.")</f>
        <v>N.A.</v>
      </c>
      <c r="C152" s="108" t="str">
        <f ca="1">IFERROR(__xludf.DUMMYFUNCTION("""COMPUTED_VALUE"""),"N.A.")</f>
        <v>N.A.</v>
      </c>
    </row>
    <row r="153" spans="1:3" ht="14.25" customHeight="1" x14ac:dyDescent="0.25">
      <c r="A153" s="108" t="str">
        <f ca="1">IFERROR(__xludf.DUMMYFUNCTION("""COMPUTED_VALUE"""),"180P")</f>
        <v>180P</v>
      </c>
      <c r="B153" s="108" t="str">
        <f ca="1">IFERROR(__xludf.DUMMYFUNCTION("""COMPUTED_VALUE"""),"N.A.")</f>
        <v>N.A.</v>
      </c>
      <c r="C153" s="108" t="str">
        <f ca="1">IFERROR(__xludf.DUMMYFUNCTION("""COMPUTED_VALUE"""),"N.A.")</f>
        <v>N.A.</v>
      </c>
    </row>
    <row r="154" spans="1:3" ht="14.25" customHeight="1" x14ac:dyDescent="0.25">
      <c r="A154" s="108" t="str">
        <f ca="1">IFERROR(__xludf.DUMMYFUNCTION("""COMPUTED_VALUE"""),"182K")</f>
        <v>182K</v>
      </c>
      <c r="B154" s="108">
        <f ca="1">IFERROR(__xludf.DUMMYFUNCTION("""COMPUTED_VALUE"""),50)</f>
        <v>50</v>
      </c>
      <c r="C154" s="108">
        <f ca="1">IFERROR(__xludf.DUMMYFUNCTION("""COMPUTED_VALUE"""),0)</f>
        <v>0</v>
      </c>
    </row>
    <row r="155" spans="1:3" ht="14.25" customHeight="1" x14ac:dyDescent="0.25">
      <c r="A155" s="108" t="str">
        <f ca="1">IFERROR(__xludf.DUMMYFUNCTION("""COMPUTED_VALUE"""),"183K")</f>
        <v>183K</v>
      </c>
      <c r="B155" s="108">
        <f ca="1">IFERROR(__xludf.DUMMYFUNCTION("""COMPUTED_VALUE"""),62)</f>
        <v>62</v>
      </c>
      <c r="C155" s="108">
        <f ca="1">IFERROR(__xludf.DUMMYFUNCTION("""COMPUTED_VALUE"""),0)</f>
        <v>0</v>
      </c>
    </row>
    <row r="156" spans="1:3" ht="14.25" customHeight="1" x14ac:dyDescent="0.25">
      <c r="A156" s="108" t="str">
        <f ca="1">IFERROR(__xludf.DUMMYFUNCTION("""COMPUTED_VALUE"""),"184P")</f>
        <v>184P</v>
      </c>
      <c r="B156" s="108">
        <f ca="1">IFERROR(__xludf.DUMMYFUNCTION("""COMPUTED_VALUE"""),75)</f>
        <v>75</v>
      </c>
      <c r="C156" s="108">
        <f ca="1">IFERROR(__xludf.DUMMYFUNCTION("""COMPUTED_VALUE"""),8)</f>
        <v>8</v>
      </c>
    </row>
    <row r="157" spans="1:3" ht="14.25" customHeight="1" x14ac:dyDescent="0.25">
      <c r="A157" s="108" t="str">
        <f ca="1">IFERROR(__xludf.DUMMYFUNCTION("""COMPUTED_VALUE"""),"185P")</f>
        <v>185P</v>
      </c>
      <c r="B157" s="108" t="str">
        <f ca="1">IFERROR(__xludf.DUMMYFUNCTION("""COMPUTED_VALUE"""),"N.A.")</f>
        <v>N.A.</v>
      </c>
      <c r="C157" s="108" t="str">
        <f ca="1">IFERROR(__xludf.DUMMYFUNCTION("""COMPUTED_VALUE"""),"N.A.")</f>
        <v>N.A.</v>
      </c>
    </row>
    <row r="158" spans="1:3" ht="14.25" customHeight="1" x14ac:dyDescent="0.25">
      <c r="A158" s="108" t="str">
        <f ca="1">IFERROR(__xludf.DUMMYFUNCTION("""COMPUTED_VALUE"""),"187K")</f>
        <v>187K</v>
      </c>
      <c r="B158" s="108">
        <f ca="1">IFERROR(__xludf.DUMMYFUNCTION("""COMPUTED_VALUE"""),115)</f>
        <v>115</v>
      </c>
      <c r="C158" s="108">
        <f ca="1">IFERROR(__xludf.DUMMYFUNCTION("""COMPUTED_VALUE"""),2)</f>
        <v>2</v>
      </c>
    </row>
    <row r="159" spans="1:3" ht="14.25" customHeight="1" x14ac:dyDescent="0.25">
      <c r="A159" s="108" t="str">
        <f ca="1">IFERROR(__xludf.DUMMYFUNCTION("""COMPUTED_VALUE"""),"188K")</f>
        <v>188K</v>
      </c>
      <c r="B159" s="108">
        <f ca="1">IFERROR(__xludf.DUMMYFUNCTION("""COMPUTED_VALUE"""),52)</f>
        <v>52</v>
      </c>
      <c r="C159" s="108">
        <f ca="1">IFERROR(__xludf.DUMMYFUNCTION("""COMPUTED_VALUE"""),0)</f>
        <v>0</v>
      </c>
    </row>
    <row r="160" spans="1:3" ht="14.25" customHeight="1" x14ac:dyDescent="0.25">
      <c r="A160" s="108" t="str">
        <f ca="1">IFERROR(__xludf.DUMMYFUNCTION("""COMPUTED_VALUE"""),"189P")</f>
        <v>189P</v>
      </c>
      <c r="B160" s="108">
        <f ca="1">IFERROR(__xludf.DUMMYFUNCTION("""COMPUTED_VALUE"""),102)</f>
        <v>102</v>
      </c>
      <c r="C160" s="108">
        <f ca="1">IFERROR(__xludf.DUMMYFUNCTION("""COMPUTED_VALUE"""),7)</f>
        <v>7</v>
      </c>
    </row>
    <row r="161" spans="1:3" ht="14.25" customHeight="1" x14ac:dyDescent="0.25">
      <c r="A161" s="108" t="str">
        <f ca="1">IFERROR(__xludf.DUMMYFUNCTION("""COMPUTED_VALUE"""),"190K")</f>
        <v>190K</v>
      </c>
      <c r="B161" s="108" t="str">
        <f ca="1">IFERROR(__xludf.DUMMYFUNCTION("""COMPUTED_VALUE"""),"N.A.")</f>
        <v>N.A.</v>
      </c>
      <c r="C161" s="108" t="str">
        <f ca="1">IFERROR(__xludf.DUMMYFUNCTION("""COMPUTED_VALUE"""),"N.A.")</f>
        <v>N.A.</v>
      </c>
    </row>
    <row r="162" spans="1:3" ht="14.25" customHeight="1" x14ac:dyDescent="0.25">
      <c r="A162" s="108" t="str">
        <f ca="1">IFERROR(__xludf.DUMMYFUNCTION("""COMPUTED_VALUE"""),"191K")</f>
        <v>191K</v>
      </c>
      <c r="B162" s="108">
        <f ca="1">IFERROR(__xludf.DUMMYFUNCTION("""COMPUTED_VALUE"""),70)</f>
        <v>70</v>
      </c>
      <c r="C162" s="108">
        <f ca="1">IFERROR(__xludf.DUMMYFUNCTION("""COMPUTED_VALUE"""),0)</f>
        <v>0</v>
      </c>
    </row>
    <row r="163" spans="1:3" ht="14.25" customHeight="1" x14ac:dyDescent="0.25">
      <c r="A163" s="108" t="str">
        <f ca="1">IFERROR(__xludf.DUMMYFUNCTION("""COMPUTED_VALUE"""),"192K")</f>
        <v>192K</v>
      </c>
      <c r="B163" s="108">
        <f ca="1">IFERROR(__xludf.DUMMYFUNCTION("""COMPUTED_VALUE"""),95)</f>
        <v>95</v>
      </c>
      <c r="C163" s="108">
        <f ca="1">IFERROR(__xludf.DUMMYFUNCTION("""COMPUTED_VALUE"""),1)</f>
        <v>1</v>
      </c>
    </row>
    <row r="164" spans="1:3" ht="14.25" customHeight="1" x14ac:dyDescent="0.25">
      <c r="A164" s="108" t="str">
        <f ca="1">IFERROR(__xludf.DUMMYFUNCTION("""COMPUTED_VALUE"""),"194P")</f>
        <v>194P</v>
      </c>
      <c r="B164" s="108">
        <f ca="1">IFERROR(__xludf.DUMMYFUNCTION("""COMPUTED_VALUE"""),111)</f>
        <v>111</v>
      </c>
      <c r="C164" s="108">
        <f ca="1">IFERROR(__xludf.DUMMYFUNCTION("""COMPUTED_VALUE"""),0)</f>
        <v>0</v>
      </c>
    </row>
    <row r="165" spans="1:3" ht="14.25" customHeight="1" x14ac:dyDescent="0.25">
      <c r="A165" s="108" t="str">
        <f ca="1">IFERROR(__xludf.DUMMYFUNCTION("""COMPUTED_VALUE"""),"195K")</f>
        <v>195K</v>
      </c>
      <c r="B165" s="108">
        <f ca="1">IFERROR(__xludf.DUMMYFUNCTION("""COMPUTED_VALUE"""),63)</f>
        <v>63</v>
      </c>
      <c r="C165" s="108">
        <f ca="1">IFERROR(__xludf.DUMMYFUNCTION("""COMPUTED_VALUE"""),1)</f>
        <v>1</v>
      </c>
    </row>
    <row r="166" spans="1:3" ht="14.25" customHeight="1" x14ac:dyDescent="0.25">
      <c r="A166" s="108" t="str">
        <f ca="1">IFERROR(__xludf.DUMMYFUNCTION("""COMPUTED_VALUE"""),"196K")</f>
        <v>196K</v>
      </c>
      <c r="B166" s="108">
        <f ca="1">IFERROR(__xludf.DUMMYFUNCTION("""COMPUTED_VALUE"""),103)</f>
        <v>103</v>
      </c>
      <c r="C166" s="108">
        <f ca="1">IFERROR(__xludf.DUMMYFUNCTION("""COMPUTED_VALUE"""),0)</f>
        <v>0</v>
      </c>
    </row>
    <row r="167" spans="1:3" ht="14.25" customHeight="1" x14ac:dyDescent="0.25">
      <c r="A167" s="108" t="str">
        <f ca="1">IFERROR(__xludf.DUMMYFUNCTION("""COMPUTED_VALUE"""),"197P")</f>
        <v>197P</v>
      </c>
      <c r="B167" s="108">
        <f ca="1">IFERROR(__xludf.DUMMYFUNCTION("""COMPUTED_VALUE"""),67)</f>
        <v>67</v>
      </c>
      <c r="C167" s="108">
        <f ca="1">IFERROR(__xludf.DUMMYFUNCTION("""COMPUTED_VALUE"""),0)</f>
        <v>0</v>
      </c>
    </row>
    <row r="168" spans="1:3" ht="14.25" customHeight="1" x14ac:dyDescent="0.25">
      <c r="A168" s="108" t="str">
        <f ca="1">IFERROR(__xludf.DUMMYFUNCTION("""COMPUTED_VALUE"""),"198K")</f>
        <v>198K</v>
      </c>
      <c r="B168" s="108">
        <f ca="1">IFERROR(__xludf.DUMMYFUNCTION("""COMPUTED_VALUE"""),54)</f>
        <v>54</v>
      </c>
      <c r="C168" s="108">
        <f ca="1">IFERROR(__xludf.DUMMYFUNCTION("""COMPUTED_VALUE"""),0)</f>
        <v>0</v>
      </c>
    </row>
    <row r="169" spans="1:3" ht="14.25" customHeight="1" x14ac:dyDescent="0.25">
      <c r="A169" s="108" t="str">
        <f ca="1">IFERROR(__xludf.DUMMYFUNCTION("""COMPUTED_VALUE"""),"199K")</f>
        <v>199K</v>
      </c>
      <c r="B169" s="108">
        <f ca="1">IFERROR(__xludf.DUMMYFUNCTION("""COMPUTED_VALUE"""),61)</f>
        <v>61</v>
      </c>
      <c r="C169" s="108">
        <f ca="1">IFERROR(__xludf.DUMMYFUNCTION("""COMPUTED_VALUE"""),1)</f>
        <v>1</v>
      </c>
    </row>
    <row r="170" spans="1:3" ht="14.25" customHeight="1" x14ac:dyDescent="0.25">
      <c r="A170" s="108" t="str">
        <f ca="1">IFERROR(__xludf.DUMMYFUNCTION("""COMPUTED_VALUE"""),"200P")</f>
        <v>200P</v>
      </c>
      <c r="B170" s="108" t="str">
        <f ca="1">IFERROR(__xludf.DUMMYFUNCTION("""COMPUTED_VALUE"""),"N.A.")</f>
        <v>N.A.</v>
      </c>
      <c r="C170" s="108" t="str">
        <f ca="1">IFERROR(__xludf.DUMMYFUNCTION("""COMPUTED_VALUE"""),"N.A.")</f>
        <v>N.A.</v>
      </c>
    </row>
    <row r="171" spans="1:3" ht="14.25" customHeight="1" x14ac:dyDescent="0.25">
      <c r="A171" s="108" t="str">
        <f ca="1">IFERROR(__xludf.DUMMYFUNCTION("""COMPUTED_VALUE"""),"201K")</f>
        <v>201K</v>
      </c>
      <c r="B171" s="108" t="str">
        <f ca="1">IFERROR(__xludf.DUMMYFUNCTION("""COMPUTED_VALUE"""),"N.A.")</f>
        <v>N.A.</v>
      </c>
      <c r="C171" s="108" t="str">
        <f ca="1">IFERROR(__xludf.DUMMYFUNCTION("""COMPUTED_VALUE"""),"N.A.")</f>
        <v>N.A.</v>
      </c>
    </row>
    <row r="172" spans="1:3" ht="14.25" customHeight="1" x14ac:dyDescent="0.25">
      <c r="A172" s="108" t="str">
        <f ca="1">IFERROR(__xludf.DUMMYFUNCTION("""COMPUTED_VALUE"""),"203K")</f>
        <v>203K</v>
      </c>
      <c r="B172" s="108">
        <f ca="1">IFERROR(__xludf.DUMMYFUNCTION("""COMPUTED_VALUE"""),98)</f>
        <v>98</v>
      </c>
      <c r="C172" s="108">
        <f ca="1">IFERROR(__xludf.DUMMYFUNCTION("""COMPUTED_VALUE"""),36)</f>
        <v>36</v>
      </c>
    </row>
    <row r="173" spans="1:3" ht="14.25" customHeight="1" x14ac:dyDescent="0.25">
      <c r="A173" s="108" t="str">
        <f ca="1">IFERROR(__xludf.DUMMYFUNCTION("""COMPUTED_VALUE"""),"206K")</f>
        <v>206K</v>
      </c>
      <c r="B173" s="108">
        <f ca="1">IFERROR(__xludf.DUMMYFUNCTION("""COMPUTED_VALUE"""),77)</f>
        <v>77</v>
      </c>
      <c r="C173" s="108">
        <f ca="1">IFERROR(__xludf.DUMMYFUNCTION("""COMPUTED_VALUE"""),0)</f>
        <v>0</v>
      </c>
    </row>
    <row r="174" spans="1:3" ht="14.25" customHeight="1" x14ac:dyDescent="0.25">
      <c r="A174" s="108" t="str">
        <f ca="1">IFERROR(__xludf.DUMMYFUNCTION("""COMPUTED_VALUE"""),"207K")</f>
        <v>207K</v>
      </c>
      <c r="B174" s="108">
        <f ca="1">IFERROR(__xludf.DUMMYFUNCTION("""COMPUTED_VALUE"""),77)</f>
        <v>77</v>
      </c>
      <c r="C174" s="108">
        <f ca="1">IFERROR(__xludf.DUMMYFUNCTION("""COMPUTED_VALUE"""),1)</f>
        <v>1</v>
      </c>
    </row>
    <row r="175" spans="1:3" ht="14.25" customHeight="1" x14ac:dyDescent="0.25">
      <c r="A175" s="108" t="str">
        <f ca="1">IFERROR(__xludf.DUMMYFUNCTION("""COMPUTED_VALUE"""),"208K")</f>
        <v>208K</v>
      </c>
      <c r="B175" s="108">
        <f ca="1">IFERROR(__xludf.DUMMYFUNCTION("""COMPUTED_VALUE"""),74)</f>
        <v>74</v>
      </c>
      <c r="C175" s="108">
        <f ca="1">IFERROR(__xludf.DUMMYFUNCTION("""COMPUTED_VALUE"""),0)</f>
        <v>0</v>
      </c>
    </row>
    <row r="176" spans="1:3" ht="14.25" customHeight="1" x14ac:dyDescent="0.25">
      <c r="A176" s="108" t="str">
        <f ca="1">IFERROR(__xludf.DUMMYFUNCTION("""COMPUTED_VALUE"""),"209P")</f>
        <v>209P</v>
      </c>
      <c r="B176" s="108" t="str">
        <f ca="1">IFERROR(__xludf.DUMMYFUNCTION("""COMPUTED_VALUE"""),"N.A.")</f>
        <v>N.A.</v>
      </c>
      <c r="C176" s="108" t="str">
        <f ca="1">IFERROR(__xludf.DUMMYFUNCTION("""COMPUTED_VALUE"""),"N.A.")</f>
        <v>N.A.</v>
      </c>
    </row>
    <row r="177" spans="1:3" ht="14.25" customHeight="1" x14ac:dyDescent="0.25">
      <c r="A177" s="108" t="str">
        <f ca="1">IFERROR(__xludf.DUMMYFUNCTION("""COMPUTED_VALUE"""),"210K")</f>
        <v>210K</v>
      </c>
      <c r="B177" s="108">
        <f ca="1">IFERROR(__xludf.DUMMYFUNCTION("""COMPUTED_VALUE"""),66)</f>
        <v>66</v>
      </c>
      <c r="C177" s="108">
        <f ca="1">IFERROR(__xludf.DUMMYFUNCTION("""COMPUTED_VALUE"""),0)</f>
        <v>0</v>
      </c>
    </row>
    <row r="178" spans="1:3" ht="14.25" customHeight="1" x14ac:dyDescent="0.25">
      <c r="A178" s="108" t="str">
        <f ca="1">IFERROR(__xludf.DUMMYFUNCTION("""COMPUTED_VALUE"""),"211K")</f>
        <v>211K</v>
      </c>
      <c r="B178" s="108">
        <f ca="1">IFERROR(__xludf.DUMMYFUNCTION("""COMPUTED_VALUE"""),59)</f>
        <v>59</v>
      </c>
      <c r="C178" s="108">
        <f ca="1">IFERROR(__xludf.DUMMYFUNCTION("""COMPUTED_VALUE"""),0)</f>
        <v>0</v>
      </c>
    </row>
    <row r="179" spans="1:3" ht="14.25" customHeight="1" x14ac:dyDescent="0.25">
      <c r="A179" s="108" t="str">
        <f ca="1">IFERROR(__xludf.DUMMYFUNCTION("""COMPUTED_VALUE"""),"212P")</f>
        <v>212P</v>
      </c>
      <c r="B179" s="108">
        <f ca="1">IFERROR(__xludf.DUMMYFUNCTION("""COMPUTED_VALUE"""),98)</f>
        <v>98</v>
      </c>
      <c r="C179" s="108">
        <f ca="1">IFERROR(__xludf.DUMMYFUNCTION("""COMPUTED_VALUE"""),0)</f>
        <v>0</v>
      </c>
    </row>
    <row r="180" spans="1:3" ht="14.25" customHeight="1" x14ac:dyDescent="0.25">
      <c r="A180" s="108" t="str">
        <f ca="1">IFERROR(__xludf.DUMMYFUNCTION("""COMPUTED_VALUE"""),"213P")</f>
        <v>213P</v>
      </c>
      <c r="B180" s="108">
        <f ca="1">IFERROR(__xludf.DUMMYFUNCTION("""COMPUTED_VALUE"""),73)</f>
        <v>73</v>
      </c>
      <c r="C180" s="108">
        <f ca="1">IFERROR(__xludf.DUMMYFUNCTION("""COMPUTED_VALUE"""),10)</f>
        <v>10</v>
      </c>
    </row>
    <row r="181" spans="1:3" ht="14.25" customHeight="1" x14ac:dyDescent="0.25">
      <c r="A181" s="108" t="str">
        <f ca="1">IFERROR(__xludf.DUMMYFUNCTION("""COMPUTED_VALUE"""),"214K")</f>
        <v>214K</v>
      </c>
      <c r="B181" s="108">
        <f ca="1">IFERROR(__xludf.DUMMYFUNCTION("""COMPUTED_VALUE"""),101)</f>
        <v>101</v>
      </c>
      <c r="C181" s="108">
        <f ca="1">IFERROR(__xludf.DUMMYFUNCTION("""COMPUTED_VALUE"""),0)</f>
        <v>0</v>
      </c>
    </row>
    <row r="182" spans="1:3" ht="14.25" customHeight="1" x14ac:dyDescent="0.25">
      <c r="A182" s="108" t="str">
        <f ca="1">IFERROR(__xludf.DUMMYFUNCTION("""COMPUTED_VALUE"""),"215K")</f>
        <v>215K</v>
      </c>
      <c r="B182" s="108">
        <f ca="1">IFERROR(__xludf.DUMMYFUNCTION("""COMPUTED_VALUE"""),100)</f>
        <v>100</v>
      </c>
      <c r="C182" s="108">
        <f ca="1">IFERROR(__xludf.DUMMYFUNCTION("""COMPUTED_VALUE"""),0)</f>
        <v>0</v>
      </c>
    </row>
    <row r="183" spans="1:3" ht="14.25" customHeight="1" x14ac:dyDescent="0.25">
      <c r="A183" s="108" t="str">
        <f ca="1">IFERROR(__xludf.DUMMYFUNCTION("""COMPUTED_VALUE"""),"218K")</f>
        <v>218K</v>
      </c>
      <c r="B183" s="108">
        <f ca="1">IFERROR(__xludf.DUMMYFUNCTION("""COMPUTED_VALUE"""),93)</f>
        <v>93</v>
      </c>
      <c r="C183" s="108">
        <f ca="1">IFERROR(__xludf.DUMMYFUNCTION("""COMPUTED_VALUE"""),0)</f>
        <v>0</v>
      </c>
    </row>
    <row r="184" spans="1:3" ht="14.25" customHeight="1" x14ac:dyDescent="0.25">
      <c r="A184" s="108" t="str">
        <f ca="1">IFERROR(__xludf.DUMMYFUNCTION("""COMPUTED_VALUE"""),"219K")</f>
        <v>219K</v>
      </c>
      <c r="B184" s="108">
        <f ca="1">IFERROR(__xludf.DUMMYFUNCTION("""COMPUTED_VALUE"""),62)</f>
        <v>62</v>
      </c>
      <c r="C184" s="108">
        <f ca="1">IFERROR(__xludf.DUMMYFUNCTION("""COMPUTED_VALUE"""),50)</f>
        <v>50</v>
      </c>
    </row>
    <row r="185" spans="1:3" ht="14.25" customHeight="1" x14ac:dyDescent="0.25">
      <c r="A185" s="108" t="str">
        <f ca="1">IFERROR(__xludf.DUMMYFUNCTION("""COMPUTED_VALUE"""),"220K")</f>
        <v>220K</v>
      </c>
      <c r="B185" s="108">
        <f ca="1">IFERROR(__xludf.DUMMYFUNCTION("""COMPUTED_VALUE"""),80)</f>
        <v>80</v>
      </c>
      <c r="C185" s="108">
        <f ca="1">IFERROR(__xludf.DUMMYFUNCTION("""COMPUTED_VALUE"""),0)</f>
        <v>0</v>
      </c>
    </row>
    <row r="186" spans="1:3" ht="14.25" customHeight="1" x14ac:dyDescent="0.25">
      <c r="A186" s="108" t="str">
        <f ca="1">IFERROR(__xludf.DUMMYFUNCTION("""COMPUTED_VALUE"""),"223K")</f>
        <v>223K</v>
      </c>
      <c r="B186" s="108" t="str">
        <f ca="1">IFERROR(__xludf.DUMMYFUNCTION("""COMPUTED_VALUE"""),"N.A.")</f>
        <v>N.A.</v>
      </c>
      <c r="C186" s="108" t="str">
        <f ca="1">IFERROR(__xludf.DUMMYFUNCTION("""COMPUTED_VALUE"""),"N.A.")</f>
        <v>N.A.</v>
      </c>
    </row>
    <row r="187" spans="1:3" ht="14.25" customHeight="1" x14ac:dyDescent="0.25">
      <c r="A187" s="108" t="str">
        <f ca="1">IFERROR(__xludf.DUMMYFUNCTION("""COMPUTED_VALUE"""),"227K")</f>
        <v>227K</v>
      </c>
      <c r="B187" s="108" t="str">
        <f ca="1">IFERROR(__xludf.DUMMYFUNCTION("""COMPUTED_VALUE"""),"N.A.")</f>
        <v>N.A.</v>
      </c>
      <c r="C187" s="108" t="str">
        <f ca="1">IFERROR(__xludf.DUMMYFUNCTION("""COMPUTED_VALUE"""),"N.A.")</f>
        <v>N.A.</v>
      </c>
    </row>
    <row r="188" spans="1:3" ht="14.25" customHeight="1" x14ac:dyDescent="0.25">
      <c r="A188" s="108" t="str">
        <f ca="1">IFERROR(__xludf.DUMMYFUNCTION("""COMPUTED_VALUE"""),"228P")</f>
        <v>228P</v>
      </c>
      <c r="B188" s="108" t="str">
        <f ca="1">IFERROR(__xludf.DUMMYFUNCTION("""COMPUTED_VALUE"""),"N.A.")</f>
        <v>N.A.</v>
      </c>
      <c r="C188" s="108" t="str">
        <f ca="1">IFERROR(__xludf.DUMMYFUNCTION("""COMPUTED_VALUE"""),"N.A.")</f>
        <v>N.A.</v>
      </c>
    </row>
    <row r="189" spans="1:3" ht="14.25" customHeight="1" x14ac:dyDescent="0.25">
      <c r="A189" s="108" t="str">
        <f ca="1">IFERROR(__xludf.DUMMYFUNCTION("""COMPUTED_VALUE"""),"229K")</f>
        <v>229K</v>
      </c>
      <c r="B189" s="108" t="str">
        <f ca="1">IFERROR(__xludf.DUMMYFUNCTION("""COMPUTED_VALUE"""),"N.A.")</f>
        <v>N.A.</v>
      </c>
      <c r="C189" s="108" t="str">
        <f ca="1">IFERROR(__xludf.DUMMYFUNCTION("""COMPUTED_VALUE"""),"N.A.")</f>
        <v>N.A.</v>
      </c>
    </row>
    <row r="190" spans="1:3" ht="14.25" customHeight="1" x14ac:dyDescent="0.25">
      <c r="A190" s="108" t="str">
        <f ca="1">IFERROR(__xludf.DUMMYFUNCTION("""COMPUTED_VALUE"""),"230K")</f>
        <v>230K</v>
      </c>
      <c r="B190" s="108" t="str">
        <f ca="1">IFERROR(__xludf.DUMMYFUNCTION("""COMPUTED_VALUE"""),"N.A.")</f>
        <v>N.A.</v>
      </c>
      <c r="C190" s="108" t="str">
        <f ca="1">IFERROR(__xludf.DUMMYFUNCTION("""COMPUTED_VALUE"""),"N.A.")</f>
        <v>N.A.</v>
      </c>
    </row>
    <row r="191" spans="1:3" ht="14.25" customHeight="1" x14ac:dyDescent="0.25">
      <c r="A191" s="108" t="str">
        <f ca="1">IFERROR(__xludf.DUMMYFUNCTION("""COMPUTED_VALUE"""),"231K")</f>
        <v>231K</v>
      </c>
      <c r="B191" s="108" t="str">
        <f ca="1">IFERROR(__xludf.DUMMYFUNCTION("""COMPUTED_VALUE"""),"N.A.")</f>
        <v>N.A.</v>
      </c>
      <c r="C191" s="108" t="str">
        <f ca="1">IFERROR(__xludf.DUMMYFUNCTION("""COMPUTED_VALUE"""),"N.A.")</f>
        <v>N.A.</v>
      </c>
    </row>
    <row r="192" spans="1:3" ht="14.25" customHeight="1" x14ac:dyDescent="0.25">
      <c r="A192" s="108" t="str">
        <f ca="1">IFERROR(__xludf.DUMMYFUNCTION("""COMPUTED_VALUE"""),"232K")</f>
        <v>232K</v>
      </c>
      <c r="B192" s="108" t="str">
        <f ca="1">IFERROR(__xludf.DUMMYFUNCTION("""COMPUTED_VALUE"""),"N.A.")</f>
        <v>N.A.</v>
      </c>
      <c r="C192" s="108" t="str">
        <f ca="1">IFERROR(__xludf.DUMMYFUNCTION("""COMPUTED_VALUE"""),"N.A.")</f>
        <v>N.A.</v>
      </c>
    </row>
    <row r="193" spans="1:3" ht="14.25" customHeight="1" x14ac:dyDescent="0.25">
      <c r="A193" s="108" t="str">
        <f ca="1">IFERROR(__xludf.DUMMYFUNCTION("""COMPUTED_VALUE"""),"233K")</f>
        <v>233K</v>
      </c>
      <c r="B193" s="108" t="str">
        <f ca="1">IFERROR(__xludf.DUMMYFUNCTION("""COMPUTED_VALUE"""),"N.A.")</f>
        <v>N.A.</v>
      </c>
      <c r="C193" s="108" t="str">
        <f ca="1">IFERROR(__xludf.DUMMYFUNCTION("""COMPUTED_VALUE"""),"N.A.")</f>
        <v>N.A.</v>
      </c>
    </row>
    <row r="194" spans="1:3" ht="14.25" customHeight="1" x14ac:dyDescent="0.25">
      <c r="A194" s="108" t="str">
        <f ca="1">IFERROR(__xludf.DUMMYFUNCTION("""COMPUTED_VALUE"""),"234K")</f>
        <v>234K</v>
      </c>
      <c r="B194" s="108" t="str">
        <f ca="1">IFERROR(__xludf.DUMMYFUNCTION("""COMPUTED_VALUE"""),"N.A.")</f>
        <v>N.A.</v>
      </c>
      <c r="C194" s="108" t="str">
        <f ca="1">IFERROR(__xludf.DUMMYFUNCTION("""COMPUTED_VALUE"""),"N.A.")</f>
        <v>N.A.</v>
      </c>
    </row>
    <row r="195" spans="1:3" ht="14.25" customHeight="1" x14ac:dyDescent="0.25">
      <c r="A195" s="108" t="str">
        <f ca="1">IFERROR(__xludf.DUMMYFUNCTION("""COMPUTED_VALUE"""),"235K")</f>
        <v>235K</v>
      </c>
      <c r="B195" s="108">
        <f ca="1">IFERROR(__xludf.DUMMYFUNCTION("""COMPUTED_VALUE"""),67)</f>
        <v>67</v>
      </c>
      <c r="C195" s="108">
        <f ca="1">IFERROR(__xludf.DUMMYFUNCTION("""COMPUTED_VALUE"""),0)</f>
        <v>0</v>
      </c>
    </row>
    <row r="196" spans="1:3" ht="14.25" customHeight="1" x14ac:dyDescent="0.25">
      <c r="A196" s="108"/>
      <c r="B196" s="108"/>
      <c r="C196" s="108"/>
    </row>
    <row r="197" spans="1:3" ht="14.25" customHeight="1" x14ac:dyDescent="0.25">
      <c r="A197" s="108"/>
      <c r="B197" s="108"/>
      <c r="C197" s="108"/>
    </row>
    <row r="198" spans="1:3" ht="14.25" customHeight="1" x14ac:dyDescent="0.25">
      <c r="A198" s="108"/>
      <c r="B198" s="108"/>
      <c r="C198" s="108"/>
    </row>
    <row r="199" spans="1:3" ht="14.25" customHeight="1" x14ac:dyDescent="0.25">
      <c r="A199" s="108"/>
      <c r="B199" s="108"/>
      <c r="C199" s="108"/>
    </row>
    <row r="200" spans="1:3" ht="14.25" customHeight="1" x14ac:dyDescent="0.25">
      <c r="A200" s="108"/>
      <c r="B200" s="108"/>
      <c r="C200" s="108"/>
    </row>
    <row r="201" spans="1:3" ht="14.25" customHeight="1" x14ac:dyDescent="0.25">
      <c r="A201" s="108"/>
      <c r="B201" s="108"/>
      <c r="C201" s="108"/>
    </row>
    <row r="202" spans="1:3" ht="14.25" customHeight="1" x14ac:dyDescent="0.25">
      <c r="A202" s="108"/>
      <c r="B202" s="108"/>
      <c r="C202" s="108"/>
    </row>
    <row r="203" spans="1:3" ht="14.25" customHeight="1" x14ac:dyDescent="0.25">
      <c r="A203" s="108"/>
      <c r="B203" s="108"/>
      <c r="C203" s="108"/>
    </row>
    <row r="204" spans="1:3" ht="14.25" customHeight="1" x14ac:dyDescent="0.25">
      <c r="A204" s="108"/>
      <c r="B204" s="108"/>
      <c r="C204" s="108"/>
    </row>
    <row r="205" spans="1:3" ht="14.25" customHeight="1" x14ac:dyDescent="0.25">
      <c r="A205" s="108"/>
      <c r="B205" s="108"/>
      <c r="C205" s="108"/>
    </row>
    <row r="206" spans="1:3" ht="14.25" customHeight="1" x14ac:dyDescent="0.25">
      <c r="A206" s="108"/>
      <c r="B206" s="108"/>
      <c r="C206" s="108"/>
    </row>
    <row r="207" spans="1:3" ht="14.25" customHeight="1" x14ac:dyDescent="0.25">
      <c r="A207" s="108"/>
      <c r="B207" s="108"/>
      <c r="C207" s="108"/>
    </row>
    <row r="208" spans="1:3" ht="14.25" customHeight="1" x14ac:dyDescent="0.25">
      <c r="A208" s="108"/>
      <c r="B208" s="108"/>
      <c r="C208" s="108"/>
    </row>
    <row r="209" spans="1:3" ht="14.25" customHeight="1" x14ac:dyDescent="0.25">
      <c r="A209" s="108"/>
      <c r="B209" s="108"/>
      <c r="C209" s="108"/>
    </row>
    <row r="210" spans="1:3" ht="14.25" customHeight="1" x14ac:dyDescent="0.25">
      <c r="A210" s="108"/>
      <c r="B210" s="108"/>
      <c r="C210" s="108"/>
    </row>
    <row r="211" spans="1:3" ht="14.25" customHeight="1" x14ac:dyDescent="0.25">
      <c r="A211" s="108"/>
      <c r="B211" s="108"/>
      <c r="C211" s="108"/>
    </row>
    <row r="212" spans="1:3" ht="14.25" customHeight="1" x14ac:dyDescent="0.25">
      <c r="A212" s="108"/>
      <c r="B212" s="108"/>
      <c r="C212" s="108"/>
    </row>
    <row r="213" spans="1:3" ht="14.25" customHeight="1" x14ac:dyDescent="0.25">
      <c r="A213" s="108"/>
      <c r="B213" s="108"/>
      <c r="C213" s="108"/>
    </row>
    <row r="214" spans="1:3" ht="14.25" customHeight="1" x14ac:dyDescent="0.25">
      <c r="A214" s="108"/>
      <c r="B214" s="108"/>
      <c r="C214" s="108"/>
    </row>
    <row r="215" spans="1:3" ht="14.25" customHeight="1" x14ac:dyDescent="0.25">
      <c r="A215" s="108"/>
      <c r="B215" s="108"/>
      <c r="C215" s="108"/>
    </row>
    <row r="216" spans="1:3" ht="14.25" customHeight="1" x14ac:dyDescent="0.25">
      <c r="A216" s="108"/>
      <c r="B216" s="108"/>
      <c r="C216" s="108"/>
    </row>
    <row r="217" spans="1:3" ht="14.25" customHeight="1" x14ac:dyDescent="0.25">
      <c r="A217" s="108"/>
      <c r="B217" s="108"/>
      <c r="C217" s="108"/>
    </row>
    <row r="218" spans="1:3" ht="14.25" customHeight="1" x14ac:dyDescent="0.25">
      <c r="A218" s="108"/>
      <c r="B218" s="108"/>
      <c r="C218" s="108"/>
    </row>
    <row r="219" spans="1:3" ht="14.25" customHeight="1" x14ac:dyDescent="0.25">
      <c r="A219" s="108"/>
      <c r="B219" s="108"/>
      <c r="C219" s="108"/>
    </row>
    <row r="220" spans="1:3" ht="14.25" customHeight="1" x14ac:dyDescent="0.25">
      <c r="A220" s="108"/>
      <c r="B220" s="108"/>
      <c r="C220" s="108"/>
    </row>
    <row r="221" spans="1:3" ht="14.25" customHeight="1" x14ac:dyDescent="0.25">
      <c r="A221" s="108"/>
      <c r="B221" s="108"/>
      <c r="C221" s="108"/>
    </row>
    <row r="222" spans="1:3" ht="14.25" customHeight="1" x14ac:dyDescent="0.25">
      <c r="A222" s="108"/>
      <c r="B222" s="108"/>
      <c r="C222" s="108"/>
    </row>
    <row r="223" spans="1:3" ht="14.25" customHeight="1" x14ac:dyDescent="0.25">
      <c r="A223" s="108"/>
      <c r="B223" s="108"/>
      <c r="C223" s="108"/>
    </row>
    <row r="224" spans="1:3" ht="14.25" customHeight="1" x14ac:dyDescent="0.25">
      <c r="A224" s="108"/>
      <c r="B224" s="108"/>
      <c r="C224" s="108"/>
    </row>
    <row r="225" spans="1:3" ht="14.25" customHeight="1" x14ac:dyDescent="0.25">
      <c r="A225" s="108"/>
      <c r="B225" s="108"/>
      <c r="C225" s="108"/>
    </row>
    <row r="226" spans="1:3" ht="14.25" customHeight="1" x14ac:dyDescent="0.25">
      <c r="A226" s="108"/>
      <c r="B226" s="108"/>
      <c r="C226" s="108"/>
    </row>
    <row r="227" spans="1:3" ht="14.25" customHeight="1" x14ac:dyDescent="0.25">
      <c r="A227" s="108"/>
      <c r="B227" s="108"/>
      <c r="C227" s="108"/>
    </row>
    <row r="228" spans="1:3" ht="14.25" customHeight="1" x14ac:dyDescent="0.25">
      <c r="A228" s="108"/>
      <c r="B228" s="108"/>
      <c r="C228" s="108"/>
    </row>
    <row r="229" spans="1:3" ht="14.25" customHeight="1" x14ac:dyDescent="0.25">
      <c r="A229" s="108"/>
      <c r="B229" s="108"/>
      <c r="C229" s="108"/>
    </row>
    <row r="230" spans="1:3" ht="14.25" customHeight="1" x14ac:dyDescent="0.25">
      <c r="A230" s="108"/>
      <c r="B230" s="108"/>
      <c r="C230" s="108"/>
    </row>
    <row r="231" spans="1:3" ht="14.25" customHeight="1" x14ac:dyDescent="0.25">
      <c r="A231" s="108"/>
      <c r="B231" s="108"/>
      <c r="C231" s="108"/>
    </row>
    <row r="232" spans="1:3" ht="14.25" customHeight="1" x14ac:dyDescent="0.25">
      <c r="A232" s="108"/>
      <c r="B232" s="108"/>
      <c r="C232" s="108"/>
    </row>
    <row r="233" spans="1:3" ht="14.25" customHeight="1" x14ac:dyDescent="0.25">
      <c r="A233" s="108"/>
      <c r="B233" s="108"/>
      <c r="C233" s="108"/>
    </row>
    <row r="234" spans="1:3" ht="14.25" customHeight="1" x14ac:dyDescent="0.25">
      <c r="A234" s="108"/>
      <c r="B234" s="108"/>
      <c r="C234" s="108"/>
    </row>
    <row r="235" spans="1:3" ht="14.25" customHeight="1" x14ac:dyDescent="0.25">
      <c r="A235" s="108"/>
      <c r="B235" s="108"/>
      <c r="C235" s="108"/>
    </row>
    <row r="236" spans="1:3" ht="14.25" customHeight="1" x14ac:dyDescent="0.25">
      <c r="A236" s="108"/>
      <c r="B236" s="108"/>
      <c r="C236" s="108"/>
    </row>
    <row r="237" spans="1:3" ht="14.25" customHeight="1" x14ac:dyDescent="0.25">
      <c r="A237" s="108"/>
    </row>
    <row r="238" spans="1:3" ht="14.25" customHeight="1" x14ac:dyDescent="0.25">
      <c r="A238" s="108"/>
    </row>
    <row r="239" spans="1:3" ht="14.25" customHeight="1" x14ac:dyDescent="0.25"/>
    <row r="240" spans="1:3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</sheetData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rgb="FF92D050"/>
  </sheetPr>
  <dimension ref="A1:AB959"/>
  <sheetViews>
    <sheetView workbookViewId="0"/>
  </sheetViews>
  <sheetFormatPr defaultColWidth="14.42578125" defaultRowHeight="15" customHeight="1" x14ac:dyDescent="0.25"/>
  <cols>
    <col min="1" max="1" width="15.7109375" customWidth="1"/>
    <col min="2" max="2" width="12.42578125" customWidth="1"/>
    <col min="3" max="6" width="9.140625" customWidth="1"/>
    <col min="7" max="28" width="10" customWidth="1"/>
  </cols>
  <sheetData>
    <row r="1" spans="1:28" ht="78.75" customHeight="1" x14ac:dyDescent="0.25">
      <c r="A1" s="163" t="s">
        <v>38</v>
      </c>
      <c r="B1" s="164" t="s">
        <v>439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1:28" ht="14.25" customHeight="1" x14ac:dyDescent="0.4">
      <c r="A2" s="165" t="str">
        <f ca="1">IFERROR(__xludf.DUMMYFUNCTION("FILTER('NEST DATA '!A:A,'NEST DATA '!AM:AM=1)"),"1P")</f>
        <v>1P</v>
      </c>
      <c r="B2" s="104">
        <f ca="1">IFERROR(__xludf.DUMMYFUNCTION("FILTER('NEST DATA '!U:U,'NEST DATA '!AM:AM=1)"),113)</f>
        <v>113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8" ht="14.25" customHeight="1" x14ac:dyDescent="0.25">
      <c r="A3" s="108" t="str">
        <f ca="1">IFERROR(__xludf.DUMMYFUNCTION("""COMPUTED_VALUE"""),"2P")</f>
        <v>2P</v>
      </c>
      <c r="B3" s="108">
        <f ca="1">IFERROR(__xludf.DUMMYFUNCTION("""COMPUTED_VALUE"""),99)</f>
        <v>99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28" ht="14.25" customHeight="1" x14ac:dyDescent="0.25">
      <c r="A4" s="108" t="str">
        <f ca="1">IFERROR(__xludf.DUMMYFUNCTION("""COMPUTED_VALUE"""),"3P")</f>
        <v>3P</v>
      </c>
      <c r="B4" s="108" t="str">
        <f ca="1">IFERROR(__xludf.DUMMYFUNCTION("""COMPUTED_VALUE"""),"N.A.")</f>
        <v>N.A.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</row>
    <row r="5" spans="1:28" ht="14.25" customHeight="1" x14ac:dyDescent="0.25">
      <c r="A5" s="108" t="str">
        <f ca="1">IFERROR(__xludf.DUMMYFUNCTION("""COMPUTED_VALUE"""),"4K")</f>
        <v>4K</v>
      </c>
      <c r="B5" s="108">
        <f ca="1">IFERROR(__xludf.DUMMYFUNCTION("""COMPUTED_VALUE"""),117)</f>
        <v>117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</row>
    <row r="6" spans="1:28" ht="14.25" customHeight="1" x14ac:dyDescent="0.25">
      <c r="A6" s="108" t="str">
        <f ca="1">IFERROR(__xludf.DUMMYFUNCTION("""COMPUTED_VALUE"""),"5K")</f>
        <v>5K</v>
      </c>
      <c r="B6" s="108">
        <f ca="1">IFERROR(__xludf.DUMMYFUNCTION("""COMPUTED_VALUE"""),95)</f>
        <v>95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</row>
    <row r="7" spans="1:28" ht="14.25" customHeight="1" x14ac:dyDescent="0.25">
      <c r="A7" s="108" t="str">
        <f ca="1">IFERROR(__xludf.DUMMYFUNCTION("""COMPUTED_VALUE"""),"6P")</f>
        <v>6P</v>
      </c>
      <c r="B7" s="108">
        <f ca="1">IFERROR(__xludf.DUMMYFUNCTION("""COMPUTED_VALUE"""),40)</f>
        <v>40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 spans="1:28" ht="14.25" customHeight="1" x14ac:dyDescent="0.25">
      <c r="A8" s="108" t="str">
        <f ca="1">IFERROR(__xludf.DUMMYFUNCTION("""COMPUTED_VALUE"""),"7P")</f>
        <v>7P</v>
      </c>
      <c r="B8" s="108">
        <f ca="1">IFERROR(__xludf.DUMMYFUNCTION("""COMPUTED_VALUE"""),140)</f>
        <v>140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</row>
    <row r="9" spans="1:28" ht="14.25" customHeight="1" x14ac:dyDescent="0.25">
      <c r="A9" s="108" t="str">
        <f ca="1">IFERROR(__xludf.DUMMYFUNCTION("""COMPUTED_VALUE"""),"8P")</f>
        <v>8P</v>
      </c>
      <c r="B9" s="108">
        <f ca="1">IFERROR(__xludf.DUMMYFUNCTION("""COMPUTED_VALUE"""),58)</f>
        <v>58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1:28" ht="14.25" customHeight="1" x14ac:dyDescent="0.25">
      <c r="A10" s="108" t="str">
        <f ca="1">IFERROR(__xludf.DUMMYFUNCTION("""COMPUTED_VALUE"""),"9K")</f>
        <v>9K</v>
      </c>
      <c r="B10" s="108">
        <f ca="1">IFERROR(__xludf.DUMMYFUNCTION("""COMPUTED_VALUE"""),65)</f>
        <v>65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</row>
    <row r="11" spans="1:28" ht="14.25" customHeight="1" x14ac:dyDescent="0.25">
      <c r="A11" s="108" t="str">
        <f ca="1">IFERROR(__xludf.DUMMYFUNCTION("""COMPUTED_VALUE"""),"10P")</f>
        <v>10P</v>
      </c>
      <c r="B11" s="108">
        <f ca="1">IFERROR(__xludf.DUMMYFUNCTION("""COMPUTED_VALUE"""),133)</f>
        <v>133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</row>
    <row r="12" spans="1:28" ht="14.25" customHeight="1" x14ac:dyDescent="0.25">
      <c r="A12" s="108" t="str">
        <f ca="1">IFERROR(__xludf.DUMMYFUNCTION("""COMPUTED_VALUE"""),"11K")</f>
        <v>11K</v>
      </c>
      <c r="B12" s="108" t="str">
        <f ca="1">IFERROR(__xludf.DUMMYFUNCTION("""COMPUTED_VALUE"""),"N.A.")</f>
        <v>N.A.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</row>
    <row r="13" spans="1:28" ht="14.25" customHeight="1" x14ac:dyDescent="0.25">
      <c r="A13" s="108" t="str">
        <f ca="1">IFERROR(__xludf.DUMMYFUNCTION("""COMPUTED_VALUE"""),"12K")</f>
        <v>12K</v>
      </c>
      <c r="B13" s="108">
        <f ca="1">IFERROR(__xludf.DUMMYFUNCTION("""COMPUTED_VALUE"""),111)</f>
        <v>111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</row>
    <row r="14" spans="1:28" ht="14.25" customHeight="1" x14ac:dyDescent="0.25">
      <c r="A14" s="108" t="str">
        <f ca="1">IFERROR(__xludf.DUMMYFUNCTION("""COMPUTED_VALUE"""),"13P")</f>
        <v>13P</v>
      </c>
      <c r="B14" s="108">
        <f ca="1">IFERROR(__xludf.DUMMYFUNCTION("""COMPUTED_VALUE"""),113)</f>
        <v>113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</row>
    <row r="15" spans="1:28" ht="14.25" customHeight="1" x14ac:dyDescent="0.25">
      <c r="A15" s="108" t="str">
        <f ca="1">IFERROR(__xludf.DUMMYFUNCTION("""COMPUTED_VALUE"""),"14K")</f>
        <v>14K</v>
      </c>
      <c r="B15" s="108">
        <f ca="1">IFERROR(__xludf.DUMMYFUNCTION("""COMPUTED_VALUE"""),118)</f>
        <v>118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</row>
    <row r="16" spans="1:28" ht="14.25" customHeight="1" x14ac:dyDescent="0.25">
      <c r="A16" s="108" t="str">
        <f ca="1">IFERROR(__xludf.DUMMYFUNCTION("""COMPUTED_VALUE"""),"15P")</f>
        <v>15P</v>
      </c>
      <c r="B16" s="108">
        <f ca="1">IFERROR(__xludf.DUMMYFUNCTION("""COMPUTED_VALUE"""),65)</f>
        <v>65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</row>
    <row r="17" spans="1:28" ht="14.25" customHeight="1" x14ac:dyDescent="0.25">
      <c r="A17" s="108" t="str">
        <f ca="1">IFERROR(__xludf.DUMMYFUNCTION("""COMPUTED_VALUE"""),"16K")</f>
        <v>16K</v>
      </c>
      <c r="B17" s="108">
        <f ca="1">IFERROR(__xludf.DUMMYFUNCTION("""COMPUTED_VALUE"""),122)</f>
        <v>122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</row>
    <row r="18" spans="1:28" ht="14.25" customHeight="1" x14ac:dyDescent="0.25">
      <c r="A18" s="108" t="str">
        <f ca="1">IFERROR(__xludf.DUMMYFUNCTION("""COMPUTED_VALUE"""),"17K")</f>
        <v>17K</v>
      </c>
      <c r="B18" s="108">
        <f ca="1">IFERROR(__xludf.DUMMYFUNCTION("""COMPUTED_VALUE"""),104)</f>
        <v>104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</row>
    <row r="19" spans="1:28" ht="14.25" customHeight="1" x14ac:dyDescent="0.25">
      <c r="A19" s="108" t="str">
        <f ca="1">IFERROR(__xludf.DUMMYFUNCTION("""COMPUTED_VALUE"""),"18P")</f>
        <v>18P</v>
      </c>
      <c r="B19" s="108">
        <f ca="1">IFERROR(__xludf.DUMMYFUNCTION("""COMPUTED_VALUE"""),149)</f>
        <v>149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</row>
    <row r="20" spans="1:28" ht="14.25" customHeight="1" x14ac:dyDescent="0.25">
      <c r="A20" s="108" t="str">
        <f ca="1">IFERROR(__xludf.DUMMYFUNCTION("""COMPUTED_VALUE"""),"19P")</f>
        <v>19P</v>
      </c>
      <c r="B20" s="108">
        <f ca="1">IFERROR(__xludf.DUMMYFUNCTION("""COMPUTED_VALUE"""),149)</f>
        <v>149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</row>
    <row r="21" spans="1:28" ht="14.25" customHeight="1" x14ac:dyDescent="0.25">
      <c r="A21" s="108" t="str">
        <f ca="1">IFERROR(__xludf.DUMMYFUNCTION("""COMPUTED_VALUE"""),"20P")</f>
        <v>20P</v>
      </c>
      <c r="B21" s="108">
        <f ca="1">IFERROR(__xludf.DUMMYFUNCTION("""COMPUTED_VALUE"""),114)</f>
        <v>114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 spans="1:28" ht="14.25" customHeight="1" x14ac:dyDescent="0.25">
      <c r="A22" s="108" t="str">
        <f ca="1">IFERROR(__xludf.DUMMYFUNCTION("""COMPUTED_VALUE"""),"21K")</f>
        <v>21K</v>
      </c>
      <c r="B22" s="108">
        <f ca="1">IFERROR(__xludf.DUMMYFUNCTION("""COMPUTED_VALUE"""),137)</f>
        <v>137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</row>
    <row r="23" spans="1:28" ht="14.25" customHeight="1" x14ac:dyDescent="0.25">
      <c r="A23" s="108" t="str">
        <f ca="1">IFERROR(__xludf.DUMMYFUNCTION("""COMPUTED_VALUE"""),"22K")</f>
        <v>22K</v>
      </c>
      <c r="B23" s="108">
        <f ca="1">IFERROR(__xludf.DUMMYFUNCTION("""COMPUTED_VALUE"""),111)</f>
        <v>111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</row>
    <row r="24" spans="1:28" ht="14.25" customHeight="1" x14ac:dyDescent="0.25">
      <c r="A24" s="108" t="str">
        <f ca="1">IFERROR(__xludf.DUMMYFUNCTION("""COMPUTED_VALUE"""),"23K")</f>
        <v>23K</v>
      </c>
      <c r="B24" s="108" t="str">
        <f ca="1">IFERROR(__xludf.DUMMYFUNCTION("""COMPUTED_VALUE"""),"N.A.")</f>
        <v>N.A.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</row>
    <row r="25" spans="1:28" ht="14.25" customHeight="1" x14ac:dyDescent="0.25">
      <c r="A25" s="108" t="str">
        <f ca="1">IFERROR(__xludf.DUMMYFUNCTION("""COMPUTED_VALUE"""),"24K")</f>
        <v>24K</v>
      </c>
      <c r="B25" s="108">
        <f ca="1">IFERROR(__xludf.DUMMYFUNCTION("""COMPUTED_VALUE"""),129)</f>
        <v>129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</row>
    <row r="26" spans="1:28" ht="14.25" customHeight="1" x14ac:dyDescent="0.25">
      <c r="A26" s="108" t="str">
        <f ca="1">IFERROR(__xludf.DUMMYFUNCTION("""COMPUTED_VALUE"""),"25P")</f>
        <v>25P</v>
      </c>
      <c r="B26" s="108">
        <f ca="1">IFERROR(__xludf.DUMMYFUNCTION("""COMPUTED_VALUE"""),160)</f>
        <v>160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</row>
    <row r="27" spans="1:28" ht="14.25" customHeight="1" x14ac:dyDescent="0.25">
      <c r="A27" s="108" t="str">
        <f ca="1">IFERROR(__xludf.DUMMYFUNCTION("""COMPUTED_VALUE"""),"26P")</f>
        <v>26P</v>
      </c>
      <c r="B27" s="108">
        <f ca="1">IFERROR(__xludf.DUMMYFUNCTION("""COMPUTED_VALUE"""),126)</f>
        <v>126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</row>
    <row r="28" spans="1:28" ht="14.25" customHeight="1" x14ac:dyDescent="0.25">
      <c r="A28" s="108" t="str">
        <f ca="1">IFERROR(__xludf.DUMMYFUNCTION("""COMPUTED_VALUE"""),"27P")</f>
        <v>27P</v>
      </c>
      <c r="B28" s="108">
        <f ca="1">IFERROR(__xludf.DUMMYFUNCTION("""COMPUTED_VALUE"""),107)</f>
        <v>107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</row>
    <row r="29" spans="1:28" ht="14.25" customHeight="1" x14ac:dyDescent="0.25">
      <c r="A29" s="108" t="str">
        <f ca="1">IFERROR(__xludf.DUMMYFUNCTION("""COMPUTED_VALUE"""),"28K")</f>
        <v>28K</v>
      </c>
      <c r="B29" s="108">
        <f ca="1">IFERROR(__xludf.DUMMYFUNCTION("""COMPUTED_VALUE"""),81)</f>
        <v>81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</row>
    <row r="30" spans="1:28" ht="14.25" customHeight="1" x14ac:dyDescent="0.25">
      <c r="A30" s="108" t="str">
        <f ca="1">IFERROR(__xludf.DUMMYFUNCTION("""COMPUTED_VALUE"""),"29K")</f>
        <v>29K</v>
      </c>
      <c r="B30" s="108">
        <f ca="1">IFERROR(__xludf.DUMMYFUNCTION("""COMPUTED_VALUE"""),65)</f>
        <v>65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</row>
    <row r="31" spans="1:28" ht="14.25" customHeight="1" x14ac:dyDescent="0.25">
      <c r="A31" s="108" t="str">
        <f ca="1">IFERROR(__xludf.DUMMYFUNCTION("""COMPUTED_VALUE"""),"30K")</f>
        <v>30K</v>
      </c>
      <c r="B31" s="108" t="str">
        <f ca="1">IFERROR(__xludf.DUMMYFUNCTION("""COMPUTED_VALUE"""),"N.A.")</f>
        <v>N.A.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</row>
    <row r="32" spans="1:28" ht="14.25" customHeight="1" x14ac:dyDescent="0.25">
      <c r="A32" s="108" t="str">
        <f ca="1">IFERROR(__xludf.DUMMYFUNCTION("""COMPUTED_VALUE"""),"31K")</f>
        <v>31K</v>
      </c>
      <c r="B32" s="108">
        <f ca="1">IFERROR(__xludf.DUMMYFUNCTION("""COMPUTED_VALUE"""),112)</f>
        <v>112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</row>
    <row r="33" spans="1:28" ht="14.25" customHeight="1" x14ac:dyDescent="0.25">
      <c r="A33" s="108" t="str">
        <f ca="1">IFERROR(__xludf.DUMMYFUNCTION("""COMPUTED_VALUE"""),"32K")</f>
        <v>32K</v>
      </c>
      <c r="B33" s="108">
        <f ca="1">IFERROR(__xludf.DUMMYFUNCTION("""COMPUTED_VALUE"""),117)</f>
        <v>117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</row>
    <row r="34" spans="1:28" ht="14.25" customHeight="1" x14ac:dyDescent="0.25">
      <c r="A34" s="108" t="str">
        <f ca="1">IFERROR(__xludf.DUMMYFUNCTION("""COMPUTED_VALUE"""),"33P")</f>
        <v>33P</v>
      </c>
      <c r="B34" s="108">
        <f ca="1">IFERROR(__xludf.DUMMYFUNCTION("""COMPUTED_VALUE"""),104)</f>
        <v>104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</row>
    <row r="35" spans="1:28" ht="14.25" customHeight="1" x14ac:dyDescent="0.25">
      <c r="A35" s="108" t="str">
        <f ca="1">IFERROR(__xludf.DUMMYFUNCTION("""COMPUTED_VALUE"""),"34K")</f>
        <v>34K</v>
      </c>
      <c r="B35" s="108">
        <f ca="1">IFERROR(__xludf.DUMMYFUNCTION("""COMPUTED_VALUE"""),63)</f>
        <v>63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</row>
    <row r="36" spans="1:28" ht="14.25" customHeight="1" x14ac:dyDescent="0.25">
      <c r="A36" s="108" t="str">
        <f ca="1">IFERROR(__xludf.DUMMYFUNCTION("""COMPUTED_VALUE"""),"35K")</f>
        <v>35K</v>
      </c>
      <c r="B36" s="108" t="str">
        <f ca="1">IFERROR(__xludf.DUMMYFUNCTION("""COMPUTED_VALUE"""),"N.A.")</f>
        <v>N.A.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</row>
    <row r="37" spans="1:28" ht="14.25" customHeight="1" x14ac:dyDescent="0.25">
      <c r="A37" s="108" t="str">
        <f ca="1">IFERROR(__xludf.DUMMYFUNCTION("""COMPUTED_VALUE"""),"36K")</f>
        <v>36K</v>
      </c>
      <c r="B37" s="108" t="str">
        <f ca="1">IFERROR(__xludf.DUMMYFUNCTION("""COMPUTED_VALUE"""),"N.A.")</f>
        <v>N.A.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</row>
    <row r="38" spans="1:28" ht="14.25" customHeight="1" x14ac:dyDescent="0.25">
      <c r="A38" s="108" t="str">
        <f ca="1">IFERROR(__xludf.DUMMYFUNCTION("""COMPUTED_VALUE"""),"37K")</f>
        <v>37K</v>
      </c>
      <c r="B38" s="108">
        <f ca="1">IFERROR(__xludf.DUMMYFUNCTION("""COMPUTED_VALUE"""),106)</f>
        <v>106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</row>
    <row r="39" spans="1:28" ht="14.25" customHeight="1" x14ac:dyDescent="0.25">
      <c r="A39" s="108" t="str">
        <f ca="1">IFERROR(__xludf.DUMMYFUNCTION("""COMPUTED_VALUE"""),"38P")</f>
        <v>38P</v>
      </c>
      <c r="B39" s="108" t="str">
        <f ca="1">IFERROR(__xludf.DUMMYFUNCTION("""COMPUTED_VALUE"""),"N.A.")</f>
        <v>N.A.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</row>
    <row r="40" spans="1:28" ht="14.25" customHeight="1" x14ac:dyDescent="0.25">
      <c r="A40" s="108" t="str">
        <f ca="1">IFERROR(__xludf.DUMMYFUNCTION("""COMPUTED_VALUE"""),"39K")</f>
        <v>39K</v>
      </c>
      <c r="B40" s="108" t="str">
        <f ca="1">IFERROR(__xludf.DUMMYFUNCTION("""COMPUTED_VALUE"""),"N.A.")</f>
        <v>N.A.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</row>
    <row r="41" spans="1:28" ht="14.25" customHeight="1" x14ac:dyDescent="0.25">
      <c r="A41" s="108" t="str">
        <f ca="1">IFERROR(__xludf.DUMMYFUNCTION("""COMPUTED_VALUE"""),"40P")</f>
        <v>40P</v>
      </c>
      <c r="B41" s="108">
        <f ca="1">IFERROR(__xludf.DUMMYFUNCTION("""COMPUTED_VALUE"""),102)</f>
        <v>102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</row>
    <row r="42" spans="1:28" ht="14.25" customHeight="1" x14ac:dyDescent="0.25">
      <c r="A42" s="108" t="str">
        <f ca="1">IFERROR(__xludf.DUMMYFUNCTION("""COMPUTED_VALUE"""),"41P")</f>
        <v>41P</v>
      </c>
      <c r="B42" s="108">
        <f ca="1">IFERROR(__xludf.DUMMYFUNCTION("""COMPUTED_VALUE"""),86)</f>
        <v>86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</row>
    <row r="43" spans="1:28" ht="14.25" customHeight="1" x14ac:dyDescent="0.25">
      <c r="A43" s="108" t="str">
        <f ca="1">IFERROR(__xludf.DUMMYFUNCTION("""COMPUTED_VALUE"""),"42K")</f>
        <v>42K</v>
      </c>
      <c r="B43" s="108" t="str">
        <f ca="1">IFERROR(__xludf.DUMMYFUNCTION("""COMPUTED_VALUE"""),"N.A.")</f>
        <v>N.A.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1:28" ht="14.25" customHeight="1" x14ac:dyDescent="0.25">
      <c r="A44" s="108" t="str">
        <f ca="1">IFERROR(__xludf.DUMMYFUNCTION("""COMPUTED_VALUE"""),"43K")</f>
        <v>43K</v>
      </c>
      <c r="B44" s="108" t="str">
        <f ca="1">IFERROR(__xludf.DUMMYFUNCTION("""COMPUTED_VALUE"""),"N.A.")</f>
        <v>N.A.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</row>
    <row r="45" spans="1:28" ht="14.25" customHeight="1" x14ac:dyDescent="0.25">
      <c r="A45" s="108" t="str">
        <f ca="1">IFERROR(__xludf.DUMMYFUNCTION("""COMPUTED_VALUE"""),"44K")</f>
        <v>44K</v>
      </c>
      <c r="B45" s="108">
        <f ca="1">IFERROR(__xludf.DUMMYFUNCTION("""COMPUTED_VALUE"""),68)</f>
        <v>68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</row>
    <row r="46" spans="1:28" ht="14.25" customHeight="1" x14ac:dyDescent="0.25">
      <c r="A46" s="108" t="str">
        <f ca="1">IFERROR(__xludf.DUMMYFUNCTION("""COMPUTED_VALUE"""),"45K")</f>
        <v>45K</v>
      </c>
      <c r="B46" s="108">
        <f ca="1">IFERROR(__xludf.DUMMYFUNCTION("""COMPUTED_VALUE"""),121)</f>
        <v>121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</row>
    <row r="47" spans="1:28" ht="14.25" customHeight="1" x14ac:dyDescent="0.25">
      <c r="A47" s="108" t="str">
        <f ca="1">IFERROR(__xludf.DUMMYFUNCTION("""COMPUTED_VALUE"""),"46K")</f>
        <v>46K</v>
      </c>
      <c r="B47" s="108" t="str">
        <f ca="1">IFERROR(__xludf.DUMMYFUNCTION("""COMPUTED_VALUE"""),"N.A.")</f>
        <v>N.A.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</row>
    <row r="48" spans="1:28" ht="14.25" customHeight="1" x14ac:dyDescent="0.25">
      <c r="A48" s="108" t="str">
        <f ca="1">IFERROR(__xludf.DUMMYFUNCTION("""COMPUTED_VALUE"""),"47K")</f>
        <v>47K</v>
      </c>
      <c r="B48" s="108" t="str">
        <f ca="1">IFERROR(__xludf.DUMMYFUNCTION("""COMPUTED_VALUE"""),"N.A.")</f>
        <v>N.A.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</row>
    <row r="49" spans="1:28" ht="14.25" customHeight="1" x14ac:dyDescent="0.25">
      <c r="A49" s="108" t="str">
        <f ca="1">IFERROR(__xludf.DUMMYFUNCTION("""COMPUTED_VALUE"""),"48K")</f>
        <v>48K</v>
      </c>
      <c r="B49" s="108" t="str">
        <f ca="1">IFERROR(__xludf.DUMMYFUNCTION("""COMPUTED_VALUE"""),"N.A.")</f>
        <v>N.A.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</row>
    <row r="50" spans="1:28" ht="14.25" customHeight="1" x14ac:dyDescent="0.25">
      <c r="A50" s="108" t="str">
        <f ca="1">IFERROR(__xludf.DUMMYFUNCTION("""COMPUTED_VALUE"""),"49K")</f>
        <v>49K</v>
      </c>
      <c r="B50" s="108">
        <f ca="1">IFERROR(__xludf.DUMMYFUNCTION("""COMPUTED_VALUE"""),84)</f>
        <v>84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</row>
    <row r="51" spans="1:28" ht="14.25" customHeight="1" x14ac:dyDescent="0.25">
      <c r="A51" s="108" t="str">
        <f ca="1">IFERROR(__xludf.DUMMYFUNCTION("""COMPUTED_VALUE"""),"50K")</f>
        <v>50K</v>
      </c>
      <c r="B51" s="108">
        <f ca="1">IFERROR(__xludf.DUMMYFUNCTION("""COMPUTED_VALUE"""),65)</f>
        <v>65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</row>
    <row r="52" spans="1:28" ht="14.25" customHeight="1" x14ac:dyDescent="0.25">
      <c r="A52" s="108" t="str">
        <f ca="1">IFERROR(__xludf.DUMMYFUNCTION("""COMPUTED_VALUE"""),"51P")</f>
        <v>51P</v>
      </c>
      <c r="B52" s="108" t="str">
        <f ca="1">IFERROR(__xludf.DUMMYFUNCTION("""COMPUTED_VALUE"""),"N.A.")</f>
        <v>N.A.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</row>
    <row r="53" spans="1:28" ht="14.25" customHeight="1" x14ac:dyDescent="0.25">
      <c r="A53" s="108" t="str">
        <f ca="1">IFERROR(__xludf.DUMMYFUNCTION("""COMPUTED_VALUE"""),"52K")</f>
        <v>52K</v>
      </c>
      <c r="B53" s="108" t="str">
        <f ca="1">IFERROR(__xludf.DUMMYFUNCTION("""COMPUTED_VALUE"""),"N.A.")</f>
        <v>N.A.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</row>
    <row r="54" spans="1:28" ht="14.25" customHeight="1" x14ac:dyDescent="0.25">
      <c r="A54" s="108" t="str">
        <f ca="1">IFERROR(__xludf.DUMMYFUNCTION("""COMPUTED_VALUE"""),"53K")</f>
        <v>53K</v>
      </c>
      <c r="B54" s="108">
        <f ca="1">IFERROR(__xludf.DUMMYFUNCTION("""COMPUTED_VALUE"""),81)</f>
        <v>81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</row>
    <row r="55" spans="1:28" ht="14.25" customHeight="1" x14ac:dyDescent="0.25">
      <c r="A55" s="108" t="str">
        <f ca="1">IFERROR(__xludf.DUMMYFUNCTION("""COMPUTED_VALUE"""),"54K")</f>
        <v>54K</v>
      </c>
      <c r="B55" s="108">
        <f ca="1">IFERROR(__xludf.DUMMYFUNCTION("""COMPUTED_VALUE"""),130)</f>
        <v>130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</row>
    <row r="56" spans="1:28" ht="14.25" customHeight="1" x14ac:dyDescent="0.25">
      <c r="A56" s="108" t="str">
        <f ca="1">IFERROR(__xludf.DUMMYFUNCTION("""COMPUTED_VALUE"""),"55K")</f>
        <v>55K</v>
      </c>
      <c r="B56" s="108" t="str">
        <f ca="1">IFERROR(__xludf.DUMMYFUNCTION("""COMPUTED_VALUE"""),"N.A.")</f>
        <v>N.A.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</row>
    <row r="57" spans="1:28" ht="14.25" customHeight="1" x14ac:dyDescent="0.25">
      <c r="A57" s="108" t="str">
        <f ca="1">IFERROR(__xludf.DUMMYFUNCTION("""COMPUTED_VALUE"""),"56K")</f>
        <v>56K</v>
      </c>
      <c r="B57" s="108">
        <f ca="1">IFERROR(__xludf.DUMMYFUNCTION("""COMPUTED_VALUE"""),70)</f>
        <v>70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</row>
    <row r="58" spans="1:28" ht="14.25" customHeight="1" x14ac:dyDescent="0.25">
      <c r="A58" s="108" t="str">
        <f ca="1">IFERROR(__xludf.DUMMYFUNCTION("""COMPUTED_VALUE"""),"57K")</f>
        <v>57K</v>
      </c>
      <c r="B58" s="108" t="str">
        <f ca="1">IFERROR(__xludf.DUMMYFUNCTION("""COMPUTED_VALUE"""),"N.A.")</f>
        <v>N.A.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</row>
    <row r="59" spans="1:28" ht="14.25" customHeight="1" x14ac:dyDescent="0.25">
      <c r="A59" s="108" t="str">
        <f ca="1">IFERROR(__xludf.DUMMYFUNCTION("""COMPUTED_VALUE"""),"58K")</f>
        <v>58K</v>
      </c>
      <c r="B59" s="108">
        <f ca="1">IFERROR(__xludf.DUMMYFUNCTION("""COMPUTED_VALUE"""),122)</f>
        <v>122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</row>
    <row r="60" spans="1:28" ht="14.25" customHeight="1" x14ac:dyDescent="0.25">
      <c r="A60" s="108" t="str">
        <f ca="1">IFERROR(__xludf.DUMMYFUNCTION("""COMPUTED_VALUE"""),"59K")</f>
        <v>59K</v>
      </c>
      <c r="B60" s="108" t="str">
        <f ca="1">IFERROR(__xludf.DUMMYFUNCTION("""COMPUTED_VALUE"""),"N.A.")</f>
        <v>N.A.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</row>
    <row r="61" spans="1:28" ht="14.25" customHeight="1" x14ac:dyDescent="0.25">
      <c r="A61" s="108" t="str">
        <f ca="1">IFERROR(__xludf.DUMMYFUNCTION("""COMPUTED_VALUE"""),"60P")</f>
        <v>60P</v>
      </c>
      <c r="B61" s="108" t="str">
        <f ca="1">IFERROR(__xludf.DUMMYFUNCTION("""COMPUTED_VALUE"""),"N.A.")</f>
        <v>N.A.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</row>
    <row r="62" spans="1:28" ht="14.25" customHeight="1" x14ac:dyDescent="0.25">
      <c r="A62" s="108" t="str">
        <f ca="1">IFERROR(__xludf.DUMMYFUNCTION("""COMPUTED_VALUE"""),"61K")</f>
        <v>61K</v>
      </c>
      <c r="B62" s="108" t="str">
        <f ca="1">IFERROR(__xludf.DUMMYFUNCTION("""COMPUTED_VALUE"""),"N.A.")</f>
        <v>N.A.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</row>
    <row r="63" spans="1:28" ht="14.25" customHeight="1" x14ac:dyDescent="0.25">
      <c r="A63" s="108" t="str">
        <f ca="1">IFERROR(__xludf.DUMMYFUNCTION("""COMPUTED_VALUE"""),"62K")</f>
        <v>62K</v>
      </c>
      <c r="B63" s="108">
        <f ca="1">IFERROR(__xludf.DUMMYFUNCTION("""COMPUTED_VALUE"""),76)</f>
        <v>76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</row>
    <row r="64" spans="1:28" ht="14.25" customHeight="1" x14ac:dyDescent="0.25">
      <c r="A64" s="108" t="str">
        <f ca="1">IFERROR(__xludf.DUMMYFUNCTION("""COMPUTED_VALUE"""),"63K")</f>
        <v>63K</v>
      </c>
      <c r="B64" s="108">
        <f ca="1">IFERROR(__xludf.DUMMYFUNCTION("""COMPUTED_VALUE"""),105)</f>
        <v>105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</row>
    <row r="65" spans="1:28" ht="14.25" customHeight="1" x14ac:dyDescent="0.25">
      <c r="A65" s="108" t="str">
        <f ca="1">IFERROR(__xludf.DUMMYFUNCTION("""COMPUTED_VALUE"""),"64P")</f>
        <v>64P</v>
      </c>
      <c r="B65" s="108">
        <f ca="1">IFERROR(__xludf.DUMMYFUNCTION("""COMPUTED_VALUE"""),81)</f>
        <v>81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</row>
    <row r="66" spans="1:28" ht="14.25" customHeight="1" x14ac:dyDescent="0.25">
      <c r="A66" s="108" t="str">
        <f ca="1">IFERROR(__xludf.DUMMYFUNCTION("""COMPUTED_VALUE"""),"65K")</f>
        <v>65K</v>
      </c>
      <c r="B66" s="108">
        <f ca="1">IFERROR(__xludf.DUMMYFUNCTION("""COMPUTED_VALUE"""),75)</f>
        <v>75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</row>
    <row r="67" spans="1:28" ht="14.25" customHeight="1" x14ac:dyDescent="0.25">
      <c r="A67" s="108" t="str">
        <f ca="1">IFERROR(__xludf.DUMMYFUNCTION("""COMPUTED_VALUE"""),"66P")</f>
        <v>66P</v>
      </c>
      <c r="B67" s="108">
        <f ca="1">IFERROR(__xludf.DUMMYFUNCTION("""COMPUTED_VALUE"""),105)</f>
        <v>105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</row>
    <row r="68" spans="1:28" ht="14.25" customHeight="1" x14ac:dyDescent="0.25">
      <c r="A68" s="108" t="str">
        <f ca="1">IFERROR(__xludf.DUMMYFUNCTION("""COMPUTED_VALUE"""),"67K")</f>
        <v>67K</v>
      </c>
      <c r="B68" s="108">
        <f ca="1">IFERROR(__xludf.DUMMYFUNCTION("""COMPUTED_VALUE"""),83)</f>
        <v>83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</row>
    <row r="69" spans="1:28" ht="14.25" customHeight="1" x14ac:dyDescent="0.25">
      <c r="A69" s="108" t="str">
        <f ca="1">IFERROR(__xludf.DUMMYFUNCTION("""COMPUTED_VALUE"""),"68K")</f>
        <v>68K</v>
      </c>
      <c r="B69" s="108">
        <f ca="1">IFERROR(__xludf.DUMMYFUNCTION("""COMPUTED_VALUE"""),97)</f>
        <v>97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</row>
    <row r="70" spans="1:28" ht="14.25" customHeight="1" x14ac:dyDescent="0.25">
      <c r="A70" s="108" t="str">
        <f ca="1">IFERROR(__xludf.DUMMYFUNCTION("""COMPUTED_VALUE"""),"69K")</f>
        <v>69K</v>
      </c>
      <c r="B70" s="108">
        <f ca="1">IFERROR(__xludf.DUMMYFUNCTION("""COMPUTED_VALUE"""),79)</f>
        <v>79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</row>
    <row r="71" spans="1:28" ht="14.25" customHeight="1" x14ac:dyDescent="0.25">
      <c r="A71" s="108" t="str">
        <f ca="1">IFERROR(__xludf.DUMMYFUNCTION("""COMPUTED_VALUE"""),"70P")</f>
        <v>70P</v>
      </c>
      <c r="B71" s="108">
        <f ca="1">IFERROR(__xludf.DUMMYFUNCTION("""COMPUTED_VALUE"""),108)</f>
        <v>108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</row>
    <row r="72" spans="1:28" ht="14.25" customHeight="1" x14ac:dyDescent="0.25">
      <c r="A72" s="108" t="str">
        <f ca="1">IFERROR(__xludf.DUMMYFUNCTION("""COMPUTED_VALUE"""),"71P")</f>
        <v>71P</v>
      </c>
      <c r="B72" s="108">
        <f ca="1">IFERROR(__xludf.DUMMYFUNCTION("""COMPUTED_VALUE"""),106)</f>
        <v>106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</row>
    <row r="73" spans="1:28" ht="14.25" customHeight="1" x14ac:dyDescent="0.25">
      <c r="A73" s="108" t="str">
        <f ca="1">IFERROR(__xludf.DUMMYFUNCTION("""COMPUTED_VALUE"""),"72K")</f>
        <v>72K</v>
      </c>
      <c r="B73" s="108">
        <f ca="1">IFERROR(__xludf.DUMMYFUNCTION("""COMPUTED_VALUE"""),135)</f>
        <v>135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</row>
    <row r="74" spans="1:28" ht="14.25" customHeight="1" x14ac:dyDescent="0.25">
      <c r="A74" s="108" t="str">
        <f ca="1">IFERROR(__xludf.DUMMYFUNCTION("""COMPUTED_VALUE"""),"73K")</f>
        <v>73K</v>
      </c>
      <c r="B74" s="108">
        <f ca="1">IFERROR(__xludf.DUMMYFUNCTION("""COMPUTED_VALUE"""),86)</f>
        <v>86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</row>
    <row r="75" spans="1:28" ht="14.25" customHeight="1" x14ac:dyDescent="0.25">
      <c r="A75" s="108" t="str">
        <f ca="1">IFERROR(__xludf.DUMMYFUNCTION("""COMPUTED_VALUE"""),"74K")</f>
        <v>74K</v>
      </c>
      <c r="B75" s="108" t="str">
        <f ca="1">IFERROR(__xludf.DUMMYFUNCTION("""COMPUTED_VALUE"""),"N.A.")</f>
        <v>N.A.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</row>
    <row r="76" spans="1:28" ht="15" customHeight="1" x14ac:dyDescent="0.25">
      <c r="A76" s="108" t="str">
        <f ca="1">IFERROR(__xludf.DUMMYFUNCTION("""COMPUTED_VALUE"""),"75K")</f>
        <v>75K</v>
      </c>
      <c r="B76" s="108">
        <f ca="1">IFERROR(__xludf.DUMMYFUNCTION("""COMPUTED_VALUE"""),137)</f>
        <v>137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</row>
    <row r="77" spans="1:28" x14ac:dyDescent="0.25">
      <c r="A77" s="108" t="str">
        <f ca="1">IFERROR(__xludf.DUMMYFUNCTION("""COMPUTED_VALUE"""),"77P")</f>
        <v>77P</v>
      </c>
      <c r="B77" s="108" t="str">
        <f ca="1">IFERROR(__xludf.DUMMYFUNCTION("""COMPUTED_VALUE"""),"N.A.")</f>
        <v>N.A.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</row>
    <row r="78" spans="1:28" x14ac:dyDescent="0.25">
      <c r="A78" s="108" t="str">
        <f ca="1">IFERROR(__xludf.DUMMYFUNCTION("""COMPUTED_VALUE"""),"78K")</f>
        <v>78K</v>
      </c>
      <c r="B78" s="108">
        <f ca="1">IFERROR(__xludf.DUMMYFUNCTION("""COMPUTED_VALUE"""),106)</f>
        <v>106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</row>
    <row r="79" spans="1:28" x14ac:dyDescent="0.25">
      <c r="A79" s="108" t="str">
        <f ca="1">IFERROR(__xludf.DUMMYFUNCTION("""COMPUTED_VALUE"""),"79P")</f>
        <v>79P</v>
      </c>
      <c r="B79" s="108">
        <f ca="1">IFERROR(__xludf.DUMMYFUNCTION("""COMPUTED_VALUE"""),93)</f>
        <v>93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</row>
    <row r="80" spans="1:28" x14ac:dyDescent="0.25">
      <c r="A80" s="108" t="str">
        <f ca="1">IFERROR(__xludf.DUMMYFUNCTION("""COMPUTED_VALUE"""),"80P")</f>
        <v>80P</v>
      </c>
      <c r="B80" s="108" t="str">
        <f ca="1">IFERROR(__xludf.DUMMYFUNCTION("""COMPUTED_VALUE"""),"N.A.")</f>
        <v>N.A.</v>
      </c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</row>
    <row r="81" spans="1:28" x14ac:dyDescent="0.25">
      <c r="A81" s="108" t="str">
        <f ca="1">IFERROR(__xludf.DUMMYFUNCTION("""COMPUTED_VALUE"""),"82K")</f>
        <v>82K</v>
      </c>
      <c r="B81" s="108" t="str">
        <f ca="1">IFERROR(__xludf.DUMMYFUNCTION("""COMPUTED_VALUE"""),"N.A.")</f>
        <v>N.A.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</row>
    <row r="82" spans="1:28" x14ac:dyDescent="0.25">
      <c r="A82" s="108" t="str">
        <f ca="1">IFERROR(__xludf.DUMMYFUNCTION("""COMPUTED_VALUE"""),"85P")</f>
        <v>85P</v>
      </c>
      <c r="B82" s="108">
        <f ca="1">IFERROR(__xludf.DUMMYFUNCTION("""COMPUTED_VALUE"""),95)</f>
        <v>95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</row>
    <row r="83" spans="1:28" x14ac:dyDescent="0.25">
      <c r="A83" s="108" t="str">
        <f ca="1">IFERROR(__xludf.DUMMYFUNCTION("""COMPUTED_VALUE"""),"86K")</f>
        <v>86K</v>
      </c>
      <c r="B83" s="108">
        <f ca="1">IFERROR(__xludf.DUMMYFUNCTION("""COMPUTED_VALUE"""),72)</f>
        <v>72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</row>
    <row r="84" spans="1:28" x14ac:dyDescent="0.25">
      <c r="A84" s="108" t="str">
        <f ca="1">IFERROR(__xludf.DUMMYFUNCTION("""COMPUTED_VALUE"""),"87P")</f>
        <v>87P</v>
      </c>
      <c r="B84" s="108">
        <f ca="1">IFERROR(__xludf.DUMMYFUNCTION("""COMPUTED_VALUE"""),88)</f>
        <v>88</v>
      </c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</row>
    <row r="85" spans="1:28" x14ac:dyDescent="0.25">
      <c r="A85" s="108" t="str">
        <f ca="1">IFERROR(__xludf.DUMMYFUNCTION("""COMPUTED_VALUE"""),"88K")</f>
        <v>88K</v>
      </c>
      <c r="B85" s="108" t="str">
        <f ca="1">IFERROR(__xludf.DUMMYFUNCTION("""COMPUTED_VALUE"""),"N.A.")</f>
        <v>N.A.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</row>
    <row r="86" spans="1:28" x14ac:dyDescent="0.25">
      <c r="A86" s="108" t="str">
        <f ca="1">IFERROR(__xludf.DUMMYFUNCTION("""COMPUTED_VALUE"""),"89P")</f>
        <v>89P</v>
      </c>
      <c r="B86" s="108" t="str">
        <f ca="1">IFERROR(__xludf.DUMMYFUNCTION("""COMPUTED_VALUE"""),"N.A.")</f>
        <v>N.A.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</row>
    <row r="87" spans="1:28" x14ac:dyDescent="0.25">
      <c r="A87" s="108" t="str">
        <f ca="1">IFERROR(__xludf.DUMMYFUNCTION("""COMPUTED_VALUE"""),"91K")</f>
        <v>91K</v>
      </c>
      <c r="B87" s="108">
        <f ca="1">IFERROR(__xludf.DUMMYFUNCTION("""COMPUTED_VALUE"""),100)</f>
        <v>100</v>
      </c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</row>
    <row r="88" spans="1:28" x14ac:dyDescent="0.25">
      <c r="A88" s="108" t="str">
        <f ca="1">IFERROR(__xludf.DUMMYFUNCTION("""COMPUTED_VALUE"""),"92P")</f>
        <v>92P</v>
      </c>
      <c r="B88" s="108" t="str">
        <f ca="1">IFERROR(__xludf.DUMMYFUNCTION("""COMPUTED_VALUE"""),"N.A.")</f>
        <v>N.A.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</row>
    <row r="89" spans="1:28" x14ac:dyDescent="0.25">
      <c r="A89" s="108" t="str">
        <f ca="1">IFERROR(__xludf.DUMMYFUNCTION("""COMPUTED_VALUE"""),"96P")</f>
        <v>96P</v>
      </c>
      <c r="B89" s="108">
        <f ca="1">IFERROR(__xludf.DUMMYFUNCTION("""COMPUTED_VALUE"""),85)</f>
        <v>85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</row>
    <row r="90" spans="1:28" x14ac:dyDescent="0.25">
      <c r="A90" s="108" t="str">
        <f ca="1">IFERROR(__xludf.DUMMYFUNCTION("""COMPUTED_VALUE"""),"97P")</f>
        <v>97P</v>
      </c>
      <c r="B90" s="108">
        <f ca="1">IFERROR(__xludf.DUMMYFUNCTION("""COMPUTED_VALUE"""),77)</f>
        <v>77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</row>
    <row r="91" spans="1:28" x14ac:dyDescent="0.25">
      <c r="A91" s="108" t="str">
        <f ca="1">IFERROR(__xludf.DUMMYFUNCTION("""COMPUTED_VALUE"""),"98P")</f>
        <v>98P</v>
      </c>
      <c r="B91" s="108">
        <f ca="1">IFERROR(__xludf.DUMMYFUNCTION("""COMPUTED_VALUE"""),107)</f>
        <v>107</v>
      </c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</row>
    <row r="92" spans="1:28" x14ac:dyDescent="0.25">
      <c r="A92" s="108" t="str">
        <f ca="1">IFERROR(__xludf.DUMMYFUNCTION("""COMPUTED_VALUE"""),"100P")</f>
        <v>100P</v>
      </c>
      <c r="B92" s="108">
        <f ca="1">IFERROR(__xludf.DUMMYFUNCTION("""COMPUTED_VALUE"""),99)</f>
        <v>99</v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</row>
    <row r="93" spans="1:28" x14ac:dyDescent="0.25">
      <c r="A93" s="108" t="str">
        <f ca="1">IFERROR(__xludf.DUMMYFUNCTION("""COMPUTED_VALUE"""),"101P")</f>
        <v>101P</v>
      </c>
      <c r="B93" s="108" t="str">
        <f ca="1">IFERROR(__xludf.DUMMYFUNCTION("""COMPUTED_VALUE"""),"N.A.")</f>
        <v>N.A.</v>
      </c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</row>
    <row r="94" spans="1:28" x14ac:dyDescent="0.25">
      <c r="A94" s="108" t="str">
        <f ca="1">IFERROR(__xludf.DUMMYFUNCTION("""COMPUTED_VALUE"""),"102P")</f>
        <v>102P</v>
      </c>
      <c r="B94" s="108" t="str">
        <f ca="1">IFERROR(__xludf.DUMMYFUNCTION("""COMPUTED_VALUE"""),"N.A.")</f>
        <v>N.A.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</row>
    <row r="95" spans="1:28" x14ac:dyDescent="0.25">
      <c r="A95" s="108" t="str">
        <f ca="1">IFERROR(__xludf.DUMMYFUNCTION("""COMPUTED_VALUE"""),"103K")</f>
        <v>103K</v>
      </c>
      <c r="B95" s="108">
        <f ca="1">IFERROR(__xludf.DUMMYFUNCTION("""COMPUTED_VALUE"""),52)</f>
        <v>52</v>
      </c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</row>
    <row r="96" spans="1:28" x14ac:dyDescent="0.25">
      <c r="A96" s="108" t="str">
        <f ca="1">IFERROR(__xludf.DUMMYFUNCTION("""COMPUTED_VALUE"""),"104K")</f>
        <v>104K</v>
      </c>
      <c r="B96" s="108" t="str">
        <f ca="1">IFERROR(__xludf.DUMMYFUNCTION("""COMPUTED_VALUE"""),"N.A.")</f>
        <v>N.A.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</row>
    <row r="97" spans="1:28" x14ac:dyDescent="0.25">
      <c r="A97" s="108" t="str">
        <f ca="1">IFERROR(__xludf.DUMMYFUNCTION("""COMPUTED_VALUE"""),"105P")</f>
        <v>105P</v>
      </c>
      <c r="B97" s="108" t="str">
        <f ca="1">IFERROR(__xludf.DUMMYFUNCTION("""COMPUTED_VALUE"""),"N.A.")</f>
        <v>N.A.</v>
      </c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</row>
    <row r="98" spans="1:28" x14ac:dyDescent="0.25">
      <c r="A98" s="108" t="str">
        <f ca="1">IFERROR(__xludf.DUMMYFUNCTION("""COMPUTED_VALUE"""),"106K")</f>
        <v>106K</v>
      </c>
      <c r="B98" s="108">
        <f ca="1">IFERROR(__xludf.DUMMYFUNCTION("""COMPUTED_VALUE"""),112)</f>
        <v>112</v>
      </c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</row>
    <row r="99" spans="1:28" x14ac:dyDescent="0.25">
      <c r="A99" s="108" t="str">
        <f ca="1">IFERROR(__xludf.DUMMYFUNCTION("""COMPUTED_VALUE"""),"108K")</f>
        <v>108K</v>
      </c>
      <c r="B99" s="108">
        <f ca="1">IFERROR(__xludf.DUMMYFUNCTION("""COMPUTED_VALUE"""),108)</f>
        <v>108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</row>
    <row r="100" spans="1:28" x14ac:dyDescent="0.25">
      <c r="A100" s="108" t="str">
        <f ca="1">IFERROR(__xludf.DUMMYFUNCTION("""COMPUTED_VALUE"""),"109K")</f>
        <v>109K</v>
      </c>
      <c r="B100" s="108" t="str">
        <f ca="1">IFERROR(__xludf.DUMMYFUNCTION("""COMPUTED_VALUE"""),"N.A.")</f>
        <v>N.A.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</row>
    <row r="101" spans="1:28" x14ac:dyDescent="0.25">
      <c r="A101" s="108" t="str">
        <f ca="1">IFERROR(__xludf.DUMMYFUNCTION("""COMPUTED_VALUE"""),"111K")</f>
        <v>111K</v>
      </c>
      <c r="B101" s="108">
        <f ca="1">IFERROR(__xludf.DUMMYFUNCTION("""COMPUTED_VALUE"""),45)</f>
        <v>45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</row>
    <row r="102" spans="1:28" x14ac:dyDescent="0.25">
      <c r="A102" s="108" t="str">
        <f ca="1">IFERROR(__xludf.DUMMYFUNCTION("""COMPUTED_VALUE"""),"113K")</f>
        <v>113K</v>
      </c>
      <c r="B102" s="108" t="str">
        <f ca="1">IFERROR(__xludf.DUMMYFUNCTION("""COMPUTED_VALUE"""),"N.A.")</f>
        <v>N.A.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</row>
    <row r="103" spans="1:28" x14ac:dyDescent="0.25">
      <c r="A103" s="108" t="str">
        <f ca="1">IFERROR(__xludf.DUMMYFUNCTION("""COMPUTED_VALUE"""),"114P")</f>
        <v>114P</v>
      </c>
      <c r="B103" s="108">
        <f ca="1">IFERROR(__xludf.DUMMYFUNCTION("""COMPUTED_VALUE"""),68)</f>
        <v>68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</row>
    <row r="104" spans="1:28" x14ac:dyDescent="0.25">
      <c r="A104" s="108" t="str">
        <f ca="1">IFERROR(__xludf.DUMMYFUNCTION("""COMPUTED_VALUE"""),"115K")</f>
        <v>115K</v>
      </c>
      <c r="B104" s="108" t="str">
        <f ca="1">IFERROR(__xludf.DUMMYFUNCTION("""COMPUTED_VALUE"""),"N.A.")</f>
        <v>N.A.</v>
      </c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</row>
    <row r="105" spans="1:28" x14ac:dyDescent="0.25">
      <c r="A105" s="108" t="str">
        <f ca="1">IFERROR(__xludf.DUMMYFUNCTION("""COMPUTED_VALUE"""),"120P")</f>
        <v>120P</v>
      </c>
      <c r="B105" s="108">
        <f ca="1">IFERROR(__xludf.DUMMYFUNCTION("""COMPUTED_VALUE"""),92)</f>
        <v>92</v>
      </c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</row>
    <row r="106" spans="1:28" x14ac:dyDescent="0.25">
      <c r="A106" s="108" t="str">
        <f ca="1">IFERROR(__xludf.DUMMYFUNCTION("""COMPUTED_VALUE"""),"121P")</f>
        <v>121P</v>
      </c>
      <c r="B106" s="108" t="str">
        <f ca="1">IFERROR(__xludf.DUMMYFUNCTION("""COMPUTED_VALUE"""),"N.A.")</f>
        <v>N.A.</v>
      </c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</row>
    <row r="107" spans="1:28" x14ac:dyDescent="0.25">
      <c r="A107" s="108" t="str">
        <f ca="1">IFERROR(__xludf.DUMMYFUNCTION("""COMPUTED_VALUE"""),"122K")</f>
        <v>122K</v>
      </c>
      <c r="B107" s="108" t="str">
        <f ca="1">IFERROR(__xludf.DUMMYFUNCTION("""COMPUTED_VALUE"""),"N.A.")</f>
        <v>N.A.</v>
      </c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</row>
    <row r="108" spans="1:28" x14ac:dyDescent="0.25">
      <c r="A108" s="108" t="str">
        <f ca="1">IFERROR(__xludf.DUMMYFUNCTION("""COMPUTED_VALUE"""),"123K")</f>
        <v>123K</v>
      </c>
      <c r="B108" s="108">
        <f ca="1">IFERROR(__xludf.DUMMYFUNCTION("""COMPUTED_VALUE"""),82)</f>
        <v>82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</row>
    <row r="109" spans="1:28" x14ac:dyDescent="0.25">
      <c r="A109" s="108" t="str">
        <f ca="1">IFERROR(__xludf.DUMMYFUNCTION("""COMPUTED_VALUE"""),"124P")</f>
        <v>124P</v>
      </c>
      <c r="B109" s="108" t="str">
        <f ca="1">IFERROR(__xludf.DUMMYFUNCTION("""COMPUTED_VALUE"""),"N.A.")</f>
        <v>N.A.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</row>
    <row r="110" spans="1:28" x14ac:dyDescent="0.25">
      <c r="A110" s="108" t="str">
        <f ca="1">IFERROR(__xludf.DUMMYFUNCTION("""COMPUTED_VALUE"""),"125P")</f>
        <v>125P</v>
      </c>
      <c r="B110" s="108">
        <f ca="1">IFERROR(__xludf.DUMMYFUNCTION("""COMPUTED_VALUE"""),84)</f>
        <v>84</v>
      </c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</row>
    <row r="111" spans="1:28" x14ac:dyDescent="0.25">
      <c r="A111" s="108" t="str">
        <f ca="1">IFERROR(__xludf.DUMMYFUNCTION("""COMPUTED_VALUE"""),"126K")</f>
        <v>126K</v>
      </c>
      <c r="B111" s="108">
        <f ca="1">IFERROR(__xludf.DUMMYFUNCTION("""COMPUTED_VALUE"""),98)</f>
        <v>98</v>
      </c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</row>
    <row r="112" spans="1:28" x14ac:dyDescent="0.25">
      <c r="A112" s="108" t="str">
        <f ca="1">IFERROR(__xludf.DUMMYFUNCTION("""COMPUTED_VALUE"""),"127K")</f>
        <v>127K</v>
      </c>
      <c r="B112" s="108">
        <f ca="1">IFERROR(__xludf.DUMMYFUNCTION("""COMPUTED_VALUE"""),118)</f>
        <v>118</v>
      </c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</row>
    <row r="113" spans="1:28" x14ac:dyDescent="0.25">
      <c r="A113" s="108" t="str">
        <f ca="1">IFERROR(__xludf.DUMMYFUNCTION("""COMPUTED_VALUE"""),"128K")</f>
        <v>128K</v>
      </c>
      <c r="B113" s="108">
        <f ca="1">IFERROR(__xludf.DUMMYFUNCTION("""COMPUTED_VALUE"""),81)</f>
        <v>81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</row>
    <row r="114" spans="1:28" x14ac:dyDescent="0.25">
      <c r="A114" s="108" t="str">
        <f ca="1">IFERROR(__xludf.DUMMYFUNCTION("""COMPUTED_VALUE"""),"129K")</f>
        <v>129K</v>
      </c>
      <c r="B114" s="108" t="str">
        <f ca="1">IFERROR(__xludf.DUMMYFUNCTION("""COMPUTED_VALUE"""),"N.A.")</f>
        <v>N.A.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</row>
    <row r="115" spans="1:28" x14ac:dyDescent="0.25">
      <c r="A115" s="108" t="str">
        <f ca="1">IFERROR(__xludf.DUMMYFUNCTION("""COMPUTED_VALUE"""),"130P")</f>
        <v>130P</v>
      </c>
      <c r="B115" s="108" t="str">
        <f ca="1">IFERROR(__xludf.DUMMYFUNCTION("""COMPUTED_VALUE"""),"N.A.")</f>
        <v>N.A.</v>
      </c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</row>
    <row r="116" spans="1:28" x14ac:dyDescent="0.25">
      <c r="A116" s="108" t="str">
        <f ca="1">IFERROR(__xludf.DUMMYFUNCTION("""COMPUTED_VALUE"""),"131P")</f>
        <v>131P</v>
      </c>
      <c r="B116" s="108" t="str">
        <f ca="1">IFERROR(__xludf.DUMMYFUNCTION("""COMPUTED_VALUE"""),"N.A.")</f>
        <v>N.A.</v>
      </c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</row>
    <row r="117" spans="1:28" x14ac:dyDescent="0.25">
      <c r="A117" s="108" t="str">
        <f ca="1">IFERROR(__xludf.DUMMYFUNCTION("""COMPUTED_VALUE"""),"133K")</f>
        <v>133K</v>
      </c>
      <c r="B117" s="108">
        <f ca="1">IFERROR(__xludf.DUMMYFUNCTION("""COMPUTED_VALUE"""),75)</f>
        <v>75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</row>
    <row r="118" spans="1:28" x14ac:dyDescent="0.25">
      <c r="A118" s="108" t="str">
        <f ca="1">IFERROR(__xludf.DUMMYFUNCTION("""COMPUTED_VALUE"""),"135K")</f>
        <v>135K</v>
      </c>
      <c r="B118" s="108" t="str">
        <f ca="1">IFERROR(__xludf.DUMMYFUNCTION("""COMPUTED_VALUE"""),"N.A.")</f>
        <v>N.A.</v>
      </c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</row>
    <row r="119" spans="1:28" x14ac:dyDescent="0.25">
      <c r="A119" s="108" t="str">
        <f ca="1">IFERROR(__xludf.DUMMYFUNCTION("""COMPUTED_VALUE"""),"136K")</f>
        <v>136K</v>
      </c>
      <c r="B119" s="108">
        <f ca="1">IFERROR(__xludf.DUMMYFUNCTION("""COMPUTED_VALUE"""),84)</f>
        <v>84</v>
      </c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</row>
    <row r="120" spans="1:28" x14ac:dyDescent="0.25">
      <c r="A120" s="108" t="str">
        <f ca="1">IFERROR(__xludf.DUMMYFUNCTION("""COMPUTED_VALUE"""),"137K")</f>
        <v>137K</v>
      </c>
      <c r="B120" s="108" t="str">
        <f ca="1">IFERROR(__xludf.DUMMYFUNCTION("""COMPUTED_VALUE"""),"N.A.")</f>
        <v>N.A.</v>
      </c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</row>
    <row r="121" spans="1:28" x14ac:dyDescent="0.25">
      <c r="A121" s="108" t="str">
        <f ca="1">IFERROR(__xludf.DUMMYFUNCTION("""COMPUTED_VALUE"""),"140K")</f>
        <v>140K</v>
      </c>
      <c r="B121" s="108">
        <f ca="1">IFERROR(__xludf.DUMMYFUNCTION("""COMPUTED_VALUE"""),69)</f>
        <v>69</v>
      </c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</row>
    <row r="122" spans="1:28" x14ac:dyDescent="0.25">
      <c r="A122" s="108" t="str">
        <f ca="1">IFERROR(__xludf.DUMMYFUNCTION("""COMPUTED_VALUE"""),"141K")</f>
        <v>141K</v>
      </c>
      <c r="B122" s="108" t="str">
        <f ca="1">IFERROR(__xludf.DUMMYFUNCTION("""COMPUTED_VALUE"""),"N.A.")</f>
        <v>N.A.</v>
      </c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</row>
    <row r="123" spans="1:28" x14ac:dyDescent="0.25">
      <c r="A123" s="108" t="str">
        <f ca="1">IFERROR(__xludf.DUMMYFUNCTION("""COMPUTED_VALUE"""),"142P")</f>
        <v>142P</v>
      </c>
      <c r="B123" s="108">
        <f ca="1">IFERROR(__xludf.DUMMYFUNCTION("""COMPUTED_VALUE"""),15)</f>
        <v>15</v>
      </c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</row>
    <row r="124" spans="1:28" x14ac:dyDescent="0.25">
      <c r="A124" s="108" t="str">
        <f ca="1">IFERROR(__xludf.DUMMYFUNCTION("""COMPUTED_VALUE"""),"143P")</f>
        <v>143P</v>
      </c>
      <c r="B124" s="108">
        <f ca="1">IFERROR(__xludf.DUMMYFUNCTION("""COMPUTED_VALUE"""),82)</f>
        <v>82</v>
      </c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</row>
    <row r="125" spans="1:28" x14ac:dyDescent="0.25">
      <c r="A125" s="108" t="str">
        <f ca="1">IFERROR(__xludf.DUMMYFUNCTION("""COMPUTED_VALUE"""),"144P")</f>
        <v>144P</v>
      </c>
      <c r="B125" s="108">
        <f ca="1">IFERROR(__xludf.DUMMYFUNCTION("""COMPUTED_VALUE"""),102)</f>
        <v>102</v>
      </c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</row>
    <row r="126" spans="1:28" x14ac:dyDescent="0.25">
      <c r="A126" s="108" t="str">
        <f ca="1">IFERROR(__xludf.DUMMYFUNCTION("""COMPUTED_VALUE"""),"145K")</f>
        <v>145K</v>
      </c>
      <c r="B126" s="108">
        <f ca="1">IFERROR(__xludf.DUMMYFUNCTION("""COMPUTED_VALUE"""),100)</f>
        <v>100</v>
      </c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</row>
    <row r="127" spans="1:28" x14ac:dyDescent="0.25">
      <c r="A127" s="108" t="str">
        <f ca="1">IFERROR(__xludf.DUMMYFUNCTION("""COMPUTED_VALUE"""),"146K")</f>
        <v>146K</v>
      </c>
      <c r="B127" s="108">
        <f ca="1">IFERROR(__xludf.DUMMYFUNCTION("""COMPUTED_VALUE"""),18)</f>
        <v>18</v>
      </c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</row>
    <row r="128" spans="1:28" x14ac:dyDescent="0.25">
      <c r="A128" s="108" t="str">
        <f ca="1">IFERROR(__xludf.DUMMYFUNCTION("""COMPUTED_VALUE"""),"147K")</f>
        <v>147K</v>
      </c>
      <c r="B128" s="108" t="str">
        <f ca="1">IFERROR(__xludf.DUMMYFUNCTION("""COMPUTED_VALUE"""),"N.A.")</f>
        <v>N.A.</v>
      </c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</row>
    <row r="129" spans="1:28" x14ac:dyDescent="0.25">
      <c r="A129" s="108" t="str">
        <f ca="1">IFERROR(__xludf.DUMMYFUNCTION("""COMPUTED_VALUE"""),"149P")</f>
        <v>149P</v>
      </c>
      <c r="B129" s="108">
        <f ca="1">IFERROR(__xludf.DUMMYFUNCTION("""COMPUTED_VALUE"""),92)</f>
        <v>92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</row>
    <row r="130" spans="1:28" x14ac:dyDescent="0.25">
      <c r="A130" s="108" t="str">
        <f ca="1">IFERROR(__xludf.DUMMYFUNCTION("""COMPUTED_VALUE"""),"150K")</f>
        <v>150K</v>
      </c>
      <c r="B130" s="108" t="str">
        <f ca="1">IFERROR(__xludf.DUMMYFUNCTION("""COMPUTED_VALUE"""),"N.A.")</f>
        <v>N.A.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</row>
    <row r="131" spans="1:28" x14ac:dyDescent="0.25">
      <c r="A131" s="108" t="str">
        <f ca="1">IFERROR(__xludf.DUMMYFUNCTION("""COMPUTED_VALUE"""),"151P")</f>
        <v>151P</v>
      </c>
      <c r="B131" s="108">
        <f ca="1">IFERROR(__xludf.DUMMYFUNCTION("""COMPUTED_VALUE"""),92)</f>
        <v>92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</row>
    <row r="132" spans="1:28" x14ac:dyDescent="0.25">
      <c r="A132" s="108" t="str">
        <f ca="1">IFERROR(__xludf.DUMMYFUNCTION("""COMPUTED_VALUE"""),"152P")</f>
        <v>152P</v>
      </c>
      <c r="B132" s="108">
        <f ca="1">IFERROR(__xludf.DUMMYFUNCTION("""COMPUTED_VALUE"""),67)</f>
        <v>67</v>
      </c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</row>
    <row r="133" spans="1:28" x14ac:dyDescent="0.25">
      <c r="A133" s="108" t="str">
        <f ca="1">IFERROR(__xludf.DUMMYFUNCTION("""COMPUTED_VALUE"""),"153K")</f>
        <v>153K</v>
      </c>
      <c r="B133" s="108" t="str">
        <f ca="1">IFERROR(__xludf.DUMMYFUNCTION("""COMPUTED_VALUE"""),"N.A.")</f>
        <v>N.A.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</row>
    <row r="134" spans="1:28" x14ac:dyDescent="0.25">
      <c r="A134" s="108" t="str">
        <f ca="1">IFERROR(__xludf.DUMMYFUNCTION("""COMPUTED_VALUE"""),"154K")</f>
        <v>154K</v>
      </c>
      <c r="B134" s="108">
        <f ca="1">IFERROR(__xludf.DUMMYFUNCTION("""COMPUTED_VALUE"""),92)</f>
        <v>92</v>
      </c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</row>
    <row r="135" spans="1:28" x14ac:dyDescent="0.25">
      <c r="A135" s="108" t="str">
        <f ca="1">IFERROR(__xludf.DUMMYFUNCTION("""COMPUTED_VALUE"""),"155P")</f>
        <v>155P</v>
      </c>
      <c r="B135" s="108">
        <f ca="1">IFERROR(__xludf.DUMMYFUNCTION("""COMPUTED_VALUE"""),91)</f>
        <v>91</v>
      </c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</row>
    <row r="136" spans="1:28" x14ac:dyDescent="0.25">
      <c r="A136" s="108" t="str">
        <f ca="1">IFERROR(__xludf.DUMMYFUNCTION("""COMPUTED_VALUE"""),"156K")</f>
        <v>156K</v>
      </c>
      <c r="B136" s="108">
        <f ca="1">IFERROR(__xludf.DUMMYFUNCTION("""COMPUTED_VALUE"""),53)</f>
        <v>53</v>
      </c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</row>
    <row r="137" spans="1:28" x14ac:dyDescent="0.25">
      <c r="A137" s="108" t="str">
        <f ca="1">IFERROR(__xludf.DUMMYFUNCTION("""COMPUTED_VALUE"""),"157P")</f>
        <v>157P</v>
      </c>
      <c r="B137" s="108">
        <f ca="1">IFERROR(__xludf.DUMMYFUNCTION("""COMPUTED_VALUE"""),79)</f>
        <v>79</v>
      </c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</row>
    <row r="138" spans="1:28" x14ac:dyDescent="0.25">
      <c r="A138" s="108" t="str">
        <f ca="1">IFERROR(__xludf.DUMMYFUNCTION("""COMPUTED_VALUE"""),"158K")</f>
        <v>158K</v>
      </c>
      <c r="B138" s="108" t="str">
        <f ca="1">IFERROR(__xludf.DUMMYFUNCTION("""COMPUTED_VALUE"""),"N.A.")</f>
        <v>N.A.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</row>
    <row r="139" spans="1:28" x14ac:dyDescent="0.25">
      <c r="A139" s="108" t="str">
        <f ca="1">IFERROR(__xludf.DUMMYFUNCTION("""COMPUTED_VALUE"""),"159P")</f>
        <v>159P</v>
      </c>
      <c r="B139" s="108" t="str">
        <f ca="1">IFERROR(__xludf.DUMMYFUNCTION("""COMPUTED_VALUE"""),"N.A.")</f>
        <v>N.A.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</row>
    <row r="140" spans="1:28" x14ac:dyDescent="0.25">
      <c r="A140" s="108" t="str">
        <f ca="1">IFERROR(__xludf.DUMMYFUNCTION("""COMPUTED_VALUE"""),"162P")</f>
        <v>162P</v>
      </c>
      <c r="B140" s="108" t="str">
        <f ca="1">IFERROR(__xludf.DUMMYFUNCTION("""COMPUTED_VALUE"""),"N.A.")</f>
        <v>N.A.</v>
      </c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</row>
    <row r="141" spans="1:28" x14ac:dyDescent="0.25">
      <c r="A141" s="108" t="str">
        <f ca="1">IFERROR(__xludf.DUMMYFUNCTION("""COMPUTED_VALUE"""),"164K")</f>
        <v>164K</v>
      </c>
      <c r="B141" s="108" t="str">
        <f ca="1">IFERROR(__xludf.DUMMYFUNCTION("""COMPUTED_VALUE"""),"N.A.")</f>
        <v>N.A.</v>
      </c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</row>
    <row r="142" spans="1:28" x14ac:dyDescent="0.25">
      <c r="A142" s="108" t="str">
        <f ca="1">IFERROR(__xludf.DUMMYFUNCTION("""COMPUTED_VALUE"""),"165K")</f>
        <v>165K</v>
      </c>
      <c r="B142" s="108">
        <f ca="1">IFERROR(__xludf.DUMMYFUNCTION("""COMPUTED_VALUE"""),98)</f>
        <v>98</v>
      </c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</row>
    <row r="143" spans="1:28" x14ac:dyDescent="0.25">
      <c r="A143" s="108" t="str">
        <f ca="1">IFERROR(__xludf.DUMMYFUNCTION("""COMPUTED_VALUE"""),"167K")</f>
        <v>167K</v>
      </c>
      <c r="B143" s="108">
        <f ca="1">IFERROR(__xludf.DUMMYFUNCTION("""COMPUTED_VALUE"""),97)</f>
        <v>97</v>
      </c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</row>
    <row r="144" spans="1:28" x14ac:dyDescent="0.25">
      <c r="A144" s="108" t="str">
        <f ca="1">IFERROR(__xludf.DUMMYFUNCTION("""COMPUTED_VALUE"""),"169P")</f>
        <v>169P</v>
      </c>
      <c r="B144" s="108">
        <f ca="1">IFERROR(__xludf.DUMMYFUNCTION("""COMPUTED_VALUE"""),79)</f>
        <v>79</v>
      </c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</row>
    <row r="145" spans="1:28" x14ac:dyDescent="0.25">
      <c r="A145" s="108" t="str">
        <f ca="1">IFERROR(__xludf.DUMMYFUNCTION("""COMPUTED_VALUE"""),"170K")</f>
        <v>170K</v>
      </c>
      <c r="B145" s="108">
        <f ca="1">IFERROR(__xludf.DUMMYFUNCTION("""COMPUTED_VALUE"""),72)</f>
        <v>72</v>
      </c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</row>
    <row r="146" spans="1:28" x14ac:dyDescent="0.25">
      <c r="A146" s="108" t="str">
        <f ca="1">IFERROR(__xludf.DUMMYFUNCTION("""COMPUTED_VALUE"""),"173P")</f>
        <v>173P</v>
      </c>
      <c r="B146" s="108">
        <f ca="1">IFERROR(__xludf.DUMMYFUNCTION("""COMPUTED_VALUE"""),77)</f>
        <v>77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</row>
    <row r="147" spans="1:28" x14ac:dyDescent="0.25">
      <c r="A147" s="108" t="str">
        <f ca="1">IFERROR(__xludf.DUMMYFUNCTION("""COMPUTED_VALUE"""),"174P")</f>
        <v>174P</v>
      </c>
      <c r="B147" s="108">
        <f ca="1">IFERROR(__xludf.DUMMYFUNCTION("""COMPUTED_VALUE"""),84)</f>
        <v>84</v>
      </c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</row>
    <row r="148" spans="1:28" x14ac:dyDescent="0.25">
      <c r="A148" s="108" t="str">
        <f ca="1">IFERROR(__xludf.DUMMYFUNCTION("""COMPUTED_VALUE"""),"175K")</f>
        <v>175K</v>
      </c>
      <c r="B148" s="108" t="str">
        <f ca="1">IFERROR(__xludf.DUMMYFUNCTION("""COMPUTED_VALUE"""),"N.A.")</f>
        <v>N.A.</v>
      </c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</row>
    <row r="149" spans="1:28" x14ac:dyDescent="0.25">
      <c r="A149" s="108" t="str">
        <f ca="1">IFERROR(__xludf.DUMMYFUNCTION("""COMPUTED_VALUE"""),"176K")</f>
        <v>176K</v>
      </c>
      <c r="B149" s="108" t="str">
        <f ca="1">IFERROR(__xludf.DUMMYFUNCTION("""COMPUTED_VALUE"""),"N.A.")</f>
        <v>N.A.</v>
      </c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</row>
    <row r="150" spans="1:28" x14ac:dyDescent="0.25">
      <c r="A150" s="108" t="str">
        <f ca="1">IFERROR(__xludf.DUMMYFUNCTION("""COMPUTED_VALUE"""),"177P")</f>
        <v>177P</v>
      </c>
      <c r="B150" s="108">
        <f ca="1">IFERROR(__xludf.DUMMYFUNCTION("""COMPUTED_VALUE"""),90)</f>
        <v>90</v>
      </c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</row>
    <row r="151" spans="1:28" x14ac:dyDescent="0.25">
      <c r="A151" s="108" t="str">
        <f ca="1">IFERROR(__xludf.DUMMYFUNCTION("""COMPUTED_VALUE"""),"178K")</f>
        <v>178K</v>
      </c>
      <c r="B151" s="108">
        <f ca="1">IFERROR(__xludf.DUMMYFUNCTION("""COMPUTED_VALUE"""),92)</f>
        <v>92</v>
      </c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</row>
    <row r="152" spans="1:28" x14ac:dyDescent="0.25">
      <c r="A152" s="108" t="str">
        <f ca="1">IFERROR(__xludf.DUMMYFUNCTION("""COMPUTED_VALUE"""),"179P")</f>
        <v>179P</v>
      </c>
      <c r="B152" s="108" t="str">
        <f ca="1">IFERROR(__xludf.DUMMYFUNCTION("""COMPUTED_VALUE"""),"N.A.")</f>
        <v>N.A.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</row>
    <row r="153" spans="1:28" x14ac:dyDescent="0.25">
      <c r="A153" s="108" t="str">
        <f ca="1">IFERROR(__xludf.DUMMYFUNCTION("""COMPUTED_VALUE"""),"180P")</f>
        <v>180P</v>
      </c>
      <c r="B153" s="108" t="str">
        <f ca="1">IFERROR(__xludf.DUMMYFUNCTION("""COMPUTED_VALUE"""),"N.A.")</f>
        <v>N.A.</v>
      </c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</row>
    <row r="154" spans="1:28" x14ac:dyDescent="0.25">
      <c r="A154" s="108" t="str">
        <f ca="1">IFERROR(__xludf.DUMMYFUNCTION("""COMPUTED_VALUE"""),"182K")</f>
        <v>182K</v>
      </c>
      <c r="B154" s="108">
        <f ca="1">IFERROR(__xludf.DUMMYFUNCTION("""COMPUTED_VALUE"""),50)</f>
        <v>50</v>
      </c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</row>
    <row r="155" spans="1:28" x14ac:dyDescent="0.25">
      <c r="A155" s="108" t="str">
        <f ca="1">IFERROR(__xludf.DUMMYFUNCTION("""COMPUTED_VALUE"""),"183K")</f>
        <v>183K</v>
      </c>
      <c r="B155" s="108">
        <f ca="1">IFERROR(__xludf.DUMMYFUNCTION("""COMPUTED_VALUE"""),62)</f>
        <v>62</v>
      </c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</row>
    <row r="156" spans="1:28" x14ac:dyDescent="0.25">
      <c r="A156" s="108" t="str">
        <f ca="1">IFERROR(__xludf.DUMMYFUNCTION("""COMPUTED_VALUE"""),"184P")</f>
        <v>184P</v>
      </c>
      <c r="B156" s="108">
        <f ca="1">IFERROR(__xludf.DUMMYFUNCTION("""COMPUTED_VALUE"""),75)</f>
        <v>75</v>
      </c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</row>
    <row r="157" spans="1:28" x14ac:dyDescent="0.25">
      <c r="A157" s="108" t="str">
        <f ca="1">IFERROR(__xludf.DUMMYFUNCTION("""COMPUTED_VALUE"""),"185P")</f>
        <v>185P</v>
      </c>
      <c r="B157" s="108" t="str">
        <f ca="1">IFERROR(__xludf.DUMMYFUNCTION("""COMPUTED_VALUE"""),"N.A.")</f>
        <v>N.A.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</row>
    <row r="158" spans="1:28" x14ac:dyDescent="0.25">
      <c r="A158" s="108" t="str">
        <f ca="1">IFERROR(__xludf.DUMMYFUNCTION("""COMPUTED_VALUE"""),"187K")</f>
        <v>187K</v>
      </c>
      <c r="B158" s="108">
        <f ca="1">IFERROR(__xludf.DUMMYFUNCTION("""COMPUTED_VALUE"""),115)</f>
        <v>115</v>
      </c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</row>
    <row r="159" spans="1:28" x14ac:dyDescent="0.25">
      <c r="A159" s="108" t="str">
        <f ca="1">IFERROR(__xludf.DUMMYFUNCTION("""COMPUTED_VALUE"""),"188K")</f>
        <v>188K</v>
      </c>
      <c r="B159" s="108">
        <f ca="1">IFERROR(__xludf.DUMMYFUNCTION("""COMPUTED_VALUE"""),52)</f>
        <v>52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</row>
    <row r="160" spans="1:28" x14ac:dyDescent="0.25">
      <c r="A160" s="108" t="str">
        <f ca="1">IFERROR(__xludf.DUMMYFUNCTION("""COMPUTED_VALUE"""),"189P")</f>
        <v>189P</v>
      </c>
      <c r="B160" s="108">
        <f ca="1">IFERROR(__xludf.DUMMYFUNCTION("""COMPUTED_VALUE"""),102)</f>
        <v>102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</row>
    <row r="161" spans="1:28" x14ac:dyDescent="0.25">
      <c r="A161" s="108" t="str">
        <f ca="1">IFERROR(__xludf.DUMMYFUNCTION("""COMPUTED_VALUE"""),"190K")</f>
        <v>190K</v>
      </c>
      <c r="B161" s="108" t="str">
        <f ca="1">IFERROR(__xludf.DUMMYFUNCTION("""COMPUTED_VALUE"""),"N.A.")</f>
        <v>N.A.</v>
      </c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</row>
    <row r="162" spans="1:28" x14ac:dyDescent="0.25">
      <c r="A162" s="108" t="str">
        <f ca="1">IFERROR(__xludf.DUMMYFUNCTION("""COMPUTED_VALUE"""),"191K")</f>
        <v>191K</v>
      </c>
      <c r="B162" s="108">
        <f ca="1">IFERROR(__xludf.DUMMYFUNCTION("""COMPUTED_VALUE"""),70)</f>
        <v>70</v>
      </c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</row>
    <row r="163" spans="1:28" x14ac:dyDescent="0.25">
      <c r="A163" s="108" t="str">
        <f ca="1">IFERROR(__xludf.DUMMYFUNCTION("""COMPUTED_VALUE"""),"192K")</f>
        <v>192K</v>
      </c>
      <c r="B163" s="108">
        <f ca="1">IFERROR(__xludf.DUMMYFUNCTION("""COMPUTED_VALUE"""),95)</f>
        <v>95</v>
      </c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</row>
    <row r="164" spans="1:28" x14ac:dyDescent="0.25">
      <c r="A164" s="108" t="str">
        <f ca="1">IFERROR(__xludf.DUMMYFUNCTION("""COMPUTED_VALUE"""),"194P")</f>
        <v>194P</v>
      </c>
      <c r="B164" s="108">
        <f ca="1">IFERROR(__xludf.DUMMYFUNCTION("""COMPUTED_VALUE"""),111)</f>
        <v>111</v>
      </c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</row>
    <row r="165" spans="1:28" x14ac:dyDescent="0.25">
      <c r="A165" s="108" t="str">
        <f ca="1">IFERROR(__xludf.DUMMYFUNCTION("""COMPUTED_VALUE"""),"195K")</f>
        <v>195K</v>
      </c>
      <c r="B165" s="108">
        <f ca="1">IFERROR(__xludf.DUMMYFUNCTION("""COMPUTED_VALUE"""),63)</f>
        <v>63</v>
      </c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</row>
    <row r="166" spans="1:28" x14ac:dyDescent="0.25">
      <c r="A166" s="108" t="str">
        <f ca="1">IFERROR(__xludf.DUMMYFUNCTION("""COMPUTED_VALUE"""),"196K")</f>
        <v>196K</v>
      </c>
      <c r="B166" s="108">
        <f ca="1">IFERROR(__xludf.DUMMYFUNCTION("""COMPUTED_VALUE"""),103)</f>
        <v>103</v>
      </c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</row>
    <row r="167" spans="1:28" x14ac:dyDescent="0.25">
      <c r="A167" s="108" t="str">
        <f ca="1">IFERROR(__xludf.DUMMYFUNCTION("""COMPUTED_VALUE"""),"197P")</f>
        <v>197P</v>
      </c>
      <c r="B167" s="108">
        <f ca="1">IFERROR(__xludf.DUMMYFUNCTION("""COMPUTED_VALUE"""),67)</f>
        <v>67</v>
      </c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</row>
    <row r="168" spans="1:28" x14ac:dyDescent="0.25">
      <c r="A168" s="108" t="str">
        <f ca="1">IFERROR(__xludf.DUMMYFUNCTION("""COMPUTED_VALUE"""),"198K")</f>
        <v>198K</v>
      </c>
      <c r="B168" s="108">
        <f ca="1">IFERROR(__xludf.DUMMYFUNCTION("""COMPUTED_VALUE"""),54)</f>
        <v>54</v>
      </c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</row>
    <row r="169" spans="1:28" x14ac:dyDescent="0.25">
      <c r="A169" s="108" t="str">
        <f ca="1">IFERROR(__xludf.DUMMYFUNCTION("""COMPUTED_VALUE"""),"199K")</f>
        <v>199K</v>
      </c>
      <c r="B169" s="108">
        <f ca="1">IFERROR(__xludf.DUMMYFUNCTION("""COMPUTED_VALUE"""),61)</f>
        <v>61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</row>
    <row r="170" spans="1:28" x14ac:dyDescent="0.25">
      <c r="A170" s="108" t="str">
        <f ca="1">IFERROR(__xludf.DUMMYFUNCTION("""COMPUTED_VALUE"""),"200P")</f>
        <v>200P</v>
      </c>
      <c r="B170" s="108" t="str">
        <f ca="1">IFERROR(__xludf.DUMMYFUNCTION("""COMPUTED_VALUE"""),"N.A.")</f>
        <v>N.A.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</row>
    <row r="171" spans="1:28" x14ac:dyDescent="0.25">
      <c r="A171" s="108" t="str">
        <f ca="1">IFERROR(__xludf.DUMMYFUNCTION("""COMPUTED_VALUE"""),"201K")</f>
        <v>201K</v>
      </c>
      <c r="B171" s="108" t="str">
        <f ca="1">IFERROR(__xludf.DUMMYFUNCTION("""COMPUTED_VALUE"""),"N.A.")</f>
        <v>N.A.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</row>
    <row r="172" spans="1:28" x14ac:dyDescent="0.25">
      <c r="A172" s="108" t="str">
        <f ca="1">IFERROR(__xludf.DUMMYFUNCTION("""COMPUTED_VALUE"""),"203K")</f>
        <v>203K</v>
      </c>
      <c r="B172" s="108">
        <f ca="1">IFERROR(__xludf.DUMMYFUNCTION("""COMPUTED_VALUE"""),98)</f>
        <v>98</v>
      </c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</row>
    <row r="173" spans="1:28" x14ac:dyDescent="0.25">
      <c r="A173" s="108" t="str">
        <f ca="1">IFERROR(__xludf.DUMMYFUNCTION("""COMPUTED_VALUE"""),"206K")</f>
        <v>206K</v>
      </c>
      <c r="B173" s="108">
        <f ca="1">IFERROR(__xludf.DUMMYFUNCTION("""COMPUTED_VALUE"""),77)</f>
        <v>77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</row>
    <row r="174" spans="1:28" x14ac:dyDescent="0.25">
      <c r="A174" s="108" t="str">
        <f ca="1">IFERROR(__xludf.DUMMYFUNCTION("""COMPUTED_VALUE"""),"207K")</f>
        <v>207K</v>
      </c>
      <c r="B174" s="108">
        <f ca="1">IFERROR(__xludf.DUMMYFUNCTION("""COMPUTED_VALUE"""),77)</f>
        <v>77</v>
      </c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</row>
    <row r="175" spans="1:28" x14ac:dyDescent="0.25">
      <c r="A175" s="108" t="str">
        <f ca="1">IFERROR(__xludf.DUMMYFUNCTION("""COMPUTED_VALUE"""),"208K")</f>
        <v>208K</v>
      </c>
      <c r="B175" s="108">
        <f ca="1">IFERROR(__xludf.DUMMYFUNCTION("""COMPUTED_VALUE"""),74)</f>
        <v>74</v>
      </c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</row>
    <row r="176" spans="1:28" x14ac:dyDescent="0.25">
      <c r="A176" s="108" t="str">
        <f ca="1">IFERROR(__xludf.DUMMYFUNCTION("""COMPUTED_VALUE"""),"209P")</f>
        <v>209P</v>
      </c>
      <c r="B176" s="108" t="str">
        <f ca="1">IFERROR(__xludf.DUMMYFUNCTION("""COMPUTED_VALUE"""),"N.A.")</f>
        <v>N.A.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</row>
    <row r="177" spans="1:28" x14ac:dyDescent="0.25">
      <c r="A177" s="108" t="str">
        <f ca="1">IFERROR(__xludf.DUMMYFUNCTION("""COMPUTED_VALUE"""),"210K")</f>
        <v>210K</v>
      </c>
      <c r="B177" s="108">
        <f ca="1">IFERROR(__xludf.DUMMYFUNCTION("""COMPUTED_VALUE"""),66)</f>
        <v>66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</row>
    <row r="178" spans="1:28" x14ac:dyDescent="0.25">
      <c r="A178" s="108" t="str">
        <f ca="1">IFERROR(__xludf.DUMMYFUNCTION("""COMPUTED_VALUE"""),"211K")</f>
        <v>211K</v>
      </c>
      <c r="B178" s="108">
        <f ca="1">IFERROR(__xludf.DUMMYFUNCTION("""COMPUTED_VALUE"""),59)</f>
        <v>59</v>
      </c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</row>
    <row r="179" spans="1:28" x14ac:dyDescent="0.25">
      <c r="A179" s="108" t="str">
        <f ca="1">IFERROR(__xludf.DUMMYFUNCTION("""COMPUTED_VALUE"""),"212P")</f>
        <v>212P</v>
      </c>
      <c r="B179" s="108">
        <f ca="1">IFERROR(__xludf.DUMMYFUNCTION("""COMPUTED_VALUE"""),98)</f>
        <v>98</v>
      </c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</row>
    <row r="180" spans="1:28" x14ac:dyDescent="0.25">
      <c r="A180" s="108" t="str">
        <f ca="1">IFERROR(__xludf.DUMMYFUNCTION("""COMPUTED_VALUE"""),"213P")</f>
        <v>213P</v>
      </c>
      <c r="B180" s="108">
        <f ca="1">IFERROR(__xludf.DUMMYFUNCTION("""COMPUTED_VALUE"""),73)</f>
        <v>73</v>
      </c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</row>
    <row r="181" spans="1:28" x14ac:dyDescent="0.25">
      <c r="A181" s="108" t="str">
        <f ca="1">IFERROR(__xludf.DUMMYFUNCTION("""COMPUTED_VALUE"""),"214K")</f>
        <v>214K</v>
      </c>
      <c r="B181" s="108">
        <f ca="1">IFERROR(__xludf.DUMMYFUNCTION("""COMPUTED_VALUE"""),101)</f>
        <v>101</v>
      </c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</row>
    <row r="182" spans="1:28" x14ac:dyDescent="0.25">
      <c r="A182" s="108" t="str">
        <f ca="1">IFERROR(__xludf.DUMMYFUNCTION("""COMPUTED_VALUE"""),"215K")</f>
        <v>215K</v>
      </c>
      <c r="B182" s="108">
        <f ca="1">IFERROR(__xludf.DUMMYFUNCTION("""COMPUTED_VALUE"""),100)</f>
        <v>100</v>
      </c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</row>
    <row r="183" spans="1:28" x14ac:dyDescent="0.25">
      <c r="A183" s="108" t="str">
        <f ca="1">IFERROR(__xludf.DUMMYFUNCTION("""COMPUTED_VALUE"""),"218K")</f>
        <v>218K</v>
      </c>
      <c r="B183" s="108">
        <f ca="1">IFERROR(__xludf.DUMMYFUNCTION("""COMPUTED_VALUE"""),93)</f>
        <v>93</v>
      </c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</row>
    <row r="184" spans="1:28" x14ac:dyDescent="0.25">
      <c r="A184" s="108" t="str">
        <f ca="1">IFERROR(__xludf.DUMMYFUNCTION("""COMPUTED_VALUE"""),"219K")</f>
        <v>219K</v>
      </c>
      <c r="B184" s="108">
        <f ca="1">IFERROR(__xludf.DUMMYFUNCTION("""COMPUTED_VALUE"""),62)</f>
        <v>62</v>
      </c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</row>
    <row r="185" spans="1:28" x14ac:dyDescent="0.25">
      <c r="A185" s="108" t="str">
        <f ca="1">IFERROR(__xludf.DUMMYFUNCTION("""COMPUTED_VALUE"""),"220K")</f>
        <v>220K</v>
      </c>
      <c r="B185" s="108">
        <f ca="1">IFERROR(__xludf.DUMMYFUNCTION("""COMPUTED_VALUE"""),80)</f>
        <v>80</v>
      </c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</row>
    <row r="186" spans="1:28" x14ac:dyDescent="0.25">
      <c r="A186" s="108" t="str">
        <f ca="1">IFERROR(__xludf.DUMMYFUNCTION("""COMPUTED_VALUE"""),"223K")</f>
        <v>223K</v>
      </c>
      <c r="B186" s="108" t="str">
        <f ca="1">IFERROR(__xludf.DUMMYFUNCTION("""COMPUTED_VALUE"""),"N.A.")</f>
        <v>N.A.</v>
      </c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</row>
    <row r="187" spans="1:28" x14ac:dyDescent="0.25">
      <c r="A187" s="108" t="str">
        <f ca="1">IFERROR(__xludf.DUMMYFUNCTION("""COMPUTED_VALUE"""),"227K")</f>
        <v>227K</v>
      </c>
      <c r="B187" s="108" t="str">
        <f ca="1">IFERROR(__xludf.DUMMYFUNCTION("""COMPUTED_VALUE"""),"N.A.")</f>
        <v>N.A.</v>
      </c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</row>
    <row r="188" spans="1:28" x14ac:dyDescent="0.25">
      <c r="A188" s="108" t="str">
        <f ca="1">IFERROR(__xludf.DUMMYFUNCTION("""COMPUTED_VALUE"""),"228P")</f>
        <v>228P</v>
      </c>
      <c r="B188" s="108" t="str">
        <f ca="1">IFERROR(__xludf.DUMMYFUNCTION("""COMPUTED_VALUE"""),"N.A.")</f>
        <v>N.A.</v>
      </c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</row>
    <row r="189" spans="1:28" x14ac:dyDescent="0.25">
      <c r="A189" s="108" t="str">
        <f ca="1">IFERROR(__xludf.DUMMYFUNCTION("""COMPUTED_VALUE"""),"229K")</f>
        <v>229K</v>
      </c>
      <c r="B189" s="108" t="str">
        <f ca="1">IFERROR(__xludf.DUMMYFUNCTION("""COMPUTED_VALUE"""),"N.A.")</f>
        <v>N.A.</v>
      </c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</row>
    <row r="190" spans="1:28" x14ac:dyDescent="0.25">
      <c r="A190" s="108" t="str">
        <f ca="1">IFERROR(__xludf.DUMMYFUNCTION("""COMPUTED_VALUE"""),"230K")</f>
        <v>230K</v>
      </c>
      <c r="B190" s="108" t="str">
        <f ca="1">IFERROR(__xludf.DUMMYFUNCTION("""COMPUTED_VALUE"""),"N.A.")</f>
        <v>N.A.</v>
      </c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</row>
    <row r="191" spans="1:28" x14ac:dyDescent="0.25">
      <c r="A191" s="108" t="str">
        <f ca="1">IFERROR(__xludf.DUMMYFUNCTION("""COMPUTED_VALUE"""),"231K")</f>
        <v>231K</v>
      </c>
      <c r="B191" s="108" t="str">
        <f ca="1">IFERROR(__xludf.DUMMYFUNCTION("""COMPUTED_VALUE"""),"N.A.")</f>
        <v>N.A.</v>
      </c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</row>
    <row r="192" spans="1:28" x14ac:dyDescent="0.25">
      <c r="A192" s="108" t="str">
        <f ca="1">IFERROR(__xludf.DUMMYFUNCTION("""COMPUTED_VALUE"""),"232K")</f>
        <v>232K</v>
      </c>
      <c r="B192" s="108" t="str">
        <f ca="1">IFERROR(__xludf.DUMMYFUNCTION("""COMPUTED_VALUE"""),"N.A.")</f>
        <v>N.A.</v>
      </c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</row>
    <row r="193" spans="1:28" x14ac:dyDescent="0.25">
      <c r="A193" s="108" t="str">
        <f ca="1">IFERROR(__xludf.DUMMYFUNCTION("""COMPUTED_VALUE"""),"233K")</f>
        <v>233K</v>
      </c>
      <c r="B193" s="108" t="str">
        <f ca="1">IFERROR(__xludf.DUMMYFUNCTION("""COMPUTED_VALUE"""),"N.A.")</f>
        <v>N.A.</v>
      </c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</row>
    <row r="194" spans="1:28" x14ac:dyDescent="0.25">
      <c r="A194" s="108" t="str">
        <f ca="1">IFERROR(__xludf.DUMMYFUNCTION("""COMPUTED_VALUE"""),"234K")</f>
        <v>234K</v>
      </c>
      <c r="B194" s="108" t="str">
        <f ca="1">IFERROR(__xludf.DUMMYFUNCTION("""COMPUTED_VALUE"""),"N.A.")</f>
        <v>N.A.</v>
      </c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</row>
    <row r="195" spans="1:28" x14ac:dyDescent="0.25">
      <c r="A195" s="108" t="str">
        <f ca="1">IFERROR(__xludf.DUMMYFUNCTION("""COMPUTED_VALUE"""),"235K")</f>
        <v>235K</v>
      </c>
      <c r="B195" s="108">
        <f ca="1">IFERROR(__xludf.DUMMYFUNCTION("""COMPUTED_VALUE"""),67)</f>
        <v>67</v>
      </c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</row>
    <row r="196" spans="1:28" x14ac:dyDescent="0.25">
      <c r="A196" s="70"/>
      <c r="B196" s="70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</row>
    <row r="197" spans="1:28" x14ac:dyDescent="0.25">
      <c r="A197" s="70"/>
      <c r="B197" s="70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</row>
    <row r="198" spans="1:28" x14ac:dyDescent="0.25">
      <c r="A198" s="70"/>
      <c r="B198" s="70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</row>
    <row r="199" spans="1:28" x14ac:dyDescent="0.25">
      <c r="A199" s="70"/>
      <c r="B199" s="70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</row>
    <row r="200" spans="1:28" x14ac:dyDescent="0.25">
      <c r="A200" s="70"/>
      <c r="B200" s="70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</row>
    <row r="201" spans="1:28" x14ac:dyDescent="0.25">
      <c r="A201" s="70"/>
      <c r="B201" s="70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</row>
    <row r="202" spans="1:28" x14ac:dyDescent="0.25">
      <c r="A202" s="70"/>
      <c r="B202" s="70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</row>
    <row r="203" spans="1:28" x14ac:dyDescent="0.25">
      <c r="A203" s="70"/>
      <c r="B203" s="70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</row>
    <row r="204" spans="1:28" x14ac:dyDescent="0.25">
      <c r="A204" s="70"/>
      <c r="B204" s="70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</row>
    <row r="205" spans="1:28" x14ac:dyDescent="0.25">
      <c r="A205" s="70"/>
      <c r="B205" s="70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</row>
    <row r="206" spans="1:28" x14ac:dyDescent="0.25">
      <c r="A206" s="70"/>
      <c r="B206" s="70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</row>
    <row r="207" spans="1:28" x14ac:dyDescent="0.25">
      <c r="A207" s="70"/>
      <c r="B207" s="70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</row>
    <row r="208" spans="1:28" x14ac:dyDescent="0.25">
      <c r="A208" s="70"/>
      <c r="B208" s="70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</row>
    <row r="209" spans="1:28" x14ac:dyDescent="0.25">
      <c r="A209" s="70"/>
      <c r="B209" s="70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</row>
    <row r="210" spans="1:28" x14ac:dyDescent="0.25">
      <c r="A210" s="70"/>
      <c r="B210" s="70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</row>
    <row r="211" spans="1:28" x14ac:dyDescent="0.25">
      <c r="A211" s="70"/>
      <c r="B211" s="70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</row>
    <row r="212" spans="1:28" x14ac:dyDescent="0.25">
      <c r="A212" s="70"/>
      <c r="B212" s="70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</row>
    <row r="213" spans="1:28" x14ac:dyDescent="0.25">
      <c r="A213" s="70"/>
      <c r="B213" s="70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</row>
    <row r="214" spans="1:28" x14ac:dyDescent="0.25">
      <c r="A214" s="70"/>
      <c r="B214" s="70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</row>
    <row r="215" spans="1:28" x14ac:dyDescent="0.25">
      <c r="A215" s="70"/>
      <c r="B215" s="70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</row>
    <row r="216" spans="1:28" x14ac:dyDescent="0.25">
      <c r="A216" s="70"/>
      <c r="B216" s="70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</row>
    <row r="217" spans="1:28" x14ac:dyDescent="0.25">
      <c r="A217" s="70"/>
      <c r="B217" s="70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</row>
    <row r="218" spans="1:28" x14ac:dyDescent="0.25">
      <c r="A218" s="70"/>
      <c r="B218" s="70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</row>
    <row r="219" spans="1:28" x14ac:dyDescent="0.25">
      <c r="A219" s="70"/>
      <c r="B219" s="70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</row>
    <row r="220" spans="1:28" x14ac:dyDescent="0.25">
      <c r="A220" s="70"/>
      <c r="B220" s="70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</row>
    <row r="221" spans="1:28" x14ac:dyDescent="0.25">
      <c r="A221" s="70"/>
      <c r="B221" s="70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</row>
    <row r="222" spans="1:28" x14ac:dyDescent="0.25">
      <c r="A222" s="70"/>
      <c r="B222" s="70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</row>
    <row r="223" spans="1:28" x14ac:dyDescent="0.25">
      <c r="A223" s="70"/>
      <c r="B223" s="70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</row>
    <row r="224" spans="1:28" x14ac:dyDescent="0.25">
      <c r="A224" s="70"/>
      <c r="B224" s="70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</row>
    <row r="225" spans="1:28" x14ac:dyDescent="0.25">
      <c r="A225" s="70"/>
      <c r="B225" s="70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</row>
    <row r="226" spans="1:28" x14ac:dyDescent="0.25">
      <c r="A226" s="70"/>
      <c r="B226" s="70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</row>
    <row r="227" spans="1:28" x14ac:dyDescent="0.25">
      <c r="A227" s="70"/>
      <c r="B227" s="70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</row>
    <row r="228" spans="1:28" x14ac:dyDescent="0.25">
      <c r="A228" s="70"/>
      <c r="B228" s="70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</row>
    <row r="229" spans="1:28" x14ac:dyDescent="0.25">
      <c r="A229" s="70"/>
      <c r="B229" s="70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</row>
    <row r="230" spans="1:28" x14ac:dyDescent="0.25">
      <c r="A230" s="70"/>
      <c r="B230" s="70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</row>
    <row r="231" spans="1:28" x14ac:dyDescent="0.25">
      <c r="A231" s="70"/>
      <c r="B231" s="70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</row>
    <row r="232" spans="1:28" x14ac:dyDescent="0.25">
      <c r="A232" s="70"/>
      <c r="B232" s="70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</row>
    <row r="233" spans="1:28" x14ac:dyDescent="0.25">
      <c r="A233" s="70"/>
      <c r="B233" s="70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</row>
    <row r="234" spans="1:28" x14ac:dyDescent="0.25">
      <c r="A234" s="70"/>
      <c r="B234" s="70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</row>
    <row r="235" spans="1:28" ht="25.5" customHeight="1" x14ac:dyDescent="0.25">
      <c r="A235" s="70"/>
      <c r="B235" s="70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</row>
    <row r="236" spans="1:28" ht="25.5" customHeight="1" x14ac:dyDescent="0.25">
      <c r="A236" s="70"/>
      <c r="B236" s="70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</row>
    <row r="237" spans="1:28" ht="25.5" customHeight="1" x14ac:dyDescent="0.25">
      <c r="A237" s="70"/>
      <c r="B237" s="70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</row>
    <row r="238" spans="1:28" ht="25.5" customHeight="1" x14ac:dyDescent="0.25">
      <c r="A238" s="70"/>
      <c r="B238" s="70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</row>
    <row r="239" spans="1:28" ht="25.5" customHeight="1" x14ac:dyDescent="0.25">
      <c r="A239" s="70"/>
      <c r="B239" s="70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</row>
    <row r="240" spans="1:28" ht="25.5" customHeight="1" x14ac:dyDescent="0.25">
      <c r="A240" s="70"/>
      <c r="B240" s="70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</row>
    <row r="241" spans="1:28" ht="25.5" customHeight="1" x14ac:dyDescent="0.25">
      <c r="A241" s="70"/>
      <c r="B241" s="70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</row>
    <row r="242" spans="1:28" ht="25.5" customHeight="1" x14ac:dyDescent="0.4">
      <c r="A242" s="166"/>
      <c r="B242" s="166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</row>
    <row r="243" spans="1:28" ht="25.5" customHeight="1" x14ac:dyDescent="0.4">
      <c r="A243" s="166"/>
      <c r="B243" s="166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</row>
    <row r="244" spans="1:28" ht="25.5" customHeight="1" x14ac:dyDescent="0.4">
      <c r="A244" s="166"/>
      <c r="B244" s="166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</row>
    <row r="245" spans="1:28" ht="25.5" customHeight="1" x14ac:dyDescent="0.4">
      <c r="A245" s="166"/>
      <c r="B245" s="166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</row>
    <row r="246" spans="1:28" ht="25.5" customHeight="1" x14ac:dyDescent="0.4">
      <c r="A246" s="166"/>
      <c r="B246" s="166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</row>
    <row r="247" spans="1:28" ht="25.5" customHeight="1" x14ac:dyDescent="0.4">
      <c r="A247" s="166"/>
      <c r="B247" s="166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</row>
    <row r="248" spans="1:28" ht="25.5" customHeight="1" x14ac:dyDescent="0.4">
      <c r="A248" s="166"/>
      <c r="B248" s="166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</row>
    <row r="249" spans="1:28" ht="25.5" customHeight="1" x14ac:dyDescent="0.4">
      <c r="A249" s="166"/>
      <c r="B249" s="166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</row>
    <row r="250" spans="1:28" ht="25.5" customHeight="1" x14ac:dyDescent="0.4">
      <c r="A250" s="166"/>
      <c r="B250" s="166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</row>
    <row r="251" spans="1:28" ht="25.5" customHeight="1" x14ac:dyDescent="0.4">
      <c r="A251" s="166"/>
      <c r="B251" s="166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</row>
    <row r="252" spans="1:28" ht="25.5" customHeight="1" x14ac:dyDescent="0.4">
      <c r="A252" s="166"/>
      <c r="B252" s="166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</row>
    <row r="253" spans="1:28" ht="25.5" customHeight="1" x14ac:dyDescent="0.4">
      <c r="A253" s="166"/>
      <c r="B253" s="166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</row>
    <row r="254" spans="1:28" ht="25.5" customHeight="1" x14ac:dyDescent="0.4">
      <c r="A254" s="166"/>
      <c r="B254" s="166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</row>
    <row r="255" spans="1:28" ht="25.5" customHeight="1" x14ac:dyDescent="0.4">
      <c r="A255" s="166"/>
      <c r="B255" s="166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</row>
    <row r="256" spans="1:28" ht="25.5" customHeight="1" x14ac:dyDescent="0.4">
      <c r="A256" s="166"/>
      <c r="B256" s="166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</row>
    <row r="257" spans="1:28" ht="25.5" customHeight="1" x14ac:dyDescent="0.4">
      <c r="A257" s="166"/>
      <c r="B257" s="166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</row>
    <row r="258" spans="1:28" ht="25.5" customHeight="1" x14ac:dyDescent="0.4">
      <c r="A258" s="166"/>
      <c r="B258" s="166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</row>
    <row r="259" spans="1:28" ht="25.5" customHeight="1" x14ac:dyDescent="0.4">
      <c r="A259" s="166"/>
      <c r="B259" s="166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</row>
    <row r="260" spans="1:28" ht="25.5" customHeight="1" x14ac:dyDescent="0.4">
      <c r="A260" s="166"/>
      <c r="B260" s="166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</row>
    <row r="261" spans="1:28" ht="25.5" customHeight="1" x14ac:dyDescent="0.4">
      <c r="A261" s="166"/>
      <c r="B261" s="166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</row>
    <row r="262" spans="1:28" ht="25.5" customHeight="1" x14ac:dyDescent="0.4">
      <c r="A262" s="166"/>
      <c r="B262" s="166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</row>
    <row r="263" spans="1:28" ht="25.5" customHeight="1" x14ac:dyDescent="0.4">
      <c r="A263" s="166"/>
      <c r="B263" s="166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</row>
    <row r="264" spans="1:28" ht="25.5" customHeight="1" x14ac:dyDescent="0.4">
      <c r="A264" s="166"/>
      <c r="B264" s="166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</row>
    <row r="265" spans="1:28" ht="25.5" customHeight="1" x14ac:dyDescent="0.4">
      <c r="A265" s="166"/>
      <c r="B265" s="166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</row>
    <row r="266" spans="1:28" ht="25.5" customHeight="1" x14ac:dyDescent="0.4">
      <c r="A266" s="166"/>
      <c r="B266" s="166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</row>
    <row r="267" spans="1:28" ht="25.5" customHeight="1" x14ac:dyDescent="0.4">
      <c r="A267" s="166"/>
      <c r="B267" s="166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</row>
    <row r="268" spans="1:28" ht="25.5" customHeight="1" x14ac:dyDescent="0.4">
      <c r="A268" s="166"/>
      <c r="B268" s="166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</row>
    <row r="269" spans="1:28" ht="25.5" customHeight="1" x14ac:dyDescent="0.4">
      <c r="A269" s="166"/>
      <c r="B269" s="166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</row>
    <row r="270" spans="1:28" ht="25.5" customHeight="1" x14ac:dyDescent="0.4">
      <c r="A270" s="166"/>
      <c r="B270" s="166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</row>
    <row r="271" spans="1:28" ht="25.5" customHeight="1" x14ac:dyDescent="0.4">
      <c r="A271" s="166"/>
      <c r="B271" s="166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</row>
    <row r="272" spans="1:28" ht="25.5" customHeight="1" x14ac:dyDescent="0.4">
      <c r="A272" s="166"/>
      <c r="B272" s="166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</row>
    <row r="273" spans="1:28" ht="25.5" customHeight="1" x14ac:dyDescent="0.4">
      <c r="A273" s="166"/>
      <c r="B273" s="166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</row>
    <row r="274" spans="1:28" ht="25.5" customHeight="1" x14ac:dyDescent="0.4">
      <c r="A274" s="166"/>
      <c r="B274" s="166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</row>
    <row r="275" spans="1:28" ht="25.5" customHeight="1" x14ac:dyDescent="0.4">
      <c r="A275" s="166"/>
      <c r="B275" s="166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</row>
    <row r="276" spans="1:28" ht="25.5" customHeight="1" x14ac:dyDescent="0.4">
      <c r="A276" s="166"/>
      <c r="B276" s="166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</row>
    <row r="277" spans="1:28" ht="25.5" customHeight="1" x14ac:dyDescent="0.4">
      <c r="A277" s="166"/>
      <c r="B277" s="166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</row>
    <row r="278" spans="1:28" ht="25.5" customHeight="1" x14ac:dyDescent="0.4">
      <c r="A278" s="166"/>
      <c r="B278" s="166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</row>
    <row r="279" spans="1:28" ht="25.5" customHeight="1" x14ac:dyDescent="0.4">
      <c r="A279" s="166"/>
      <c r="B279" s="166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</row>
    <row r="280" spans="1:28" ht="25.5" customHeight="1" x14ac:dyDescent="0.4">
      <c r="A280" s="166"/>
      <c r="B280" s="166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</row>
    <row r="281" spans="1:28" ht="25.5" customHeight="1" x14ac:dyDescent="0.4">
      <c r="A281" s="166"/>
      <c r="B281" s="166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</row>
    <row r="282" spans="1:28" ht="25.5" customHeight="1" x14ac:dyDescent="0.4">
      <c r="A282" s="166"/>
      <c r="B282" s="166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</row>
    <row r="283" spans="1:28" ht="25.5" customHeight="1" x14ac:dyDescent="0.4">
      <c r="A283" s="166"/>
      <c r="B283" s="166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</row>
    <row r="284" spans="1:28" ht="25.5" customHeight="1" x14ac:dyDescent="0.4">
      <c r="A284" s="166"/>
      <c r="B284" s="166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</row>
    <row r="285" spans="1:28" ht="25.5" customHeight="1" x14ac:dyDescent="0.4">
      <c r="A285" s="166"/>
      <c r="B285" s="166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</row>
    <row r="286" spans="1:28" ht="25.5" customHeight="1" x14ac:dyDescent="0.4">
      <c r="A286" s="166"/>
      <c r="B286" s="166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</row>
    <row r="287" spans="1:28" ht="25.5" customHeight="1" x14ac:dyDescent="0.4">
      <c r="A287" s="166"/>
      <c r="B287" s="166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</row>
    <row r="288" spans="1:28" ht="25.5" customHeight="1" x14ac:dyDescent="0.4">
      <c r="A288" s="166"/>
      <c r="B288" s="166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</row>
    <row r="289" spans="1:28" ht="25.5" customHeight="1" x14ac:dyDescent="0.4">
      <c r="A289" s="166"/>
      <c r="B289" s="166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</row>
    <row r="290" spans="1:28" ht="25.5" customHeight="1" x14ac:dyDescent="0.4">
      <c r="A290" s="166"/>
      <c r="B290" s="166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</row>
    <row r="291" spans="1:28" ht="25.5" customHeight="1" x14ac:dyDescent="0.4">
      <c r="A291" s="166"/>
      <c r="B291" s="166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</row>
    <row r="292" spans="1:28" ht="25.5" customHeight="1" x14ac:dyDescent="0.4">
      <c r="A292" s="166"/>
      <c r="B292" s="166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</row>
    <row r="293" spans="1:28" ht="25.5" customHeight="1" x14ac:dyDescent="0.4">
      <c r="A293" s="166"/>
      <c r="B293" s="166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</row>
    <row r="294" spans="1:28" ht="25.5" customHeight="1" x14ac:dyDescent="0.4">
      <c r="A294" s="166"/>
      <c r="B294" s="166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</row>
    <row r="295" spans="1:28" ht="25.5" customHeight="1" x14ac:dyDescent="0.4">
      <c r="A295" s="166"/>
      <c r="B295" s="166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</row>
    <row r="296" spans="1:28" ht="25.5" customHeight="1" x14ac:dyDescent="0.4">
      <c r="A296" s="166"/>
      <c r="B296" s="166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</row>
    <row r="297" spans="1:28" ht="25.5" customHeight="1" x14ac:dyDescent="0.4">
      <c r="A297" s="166"/>
      <c r="B297" s="166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</row>
    <row r="298" spans="1:28" ht="25.5" customHeight="1" x14ac:dyDescent="0.4">
      <c r="A298" s="166"/>
      <c r="B298" s="166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</row>
    <row r="299" spans="1:28" ht="25.5" customHeight="1" x14ac:dyDescent="0.4">
      <c r="A299" s="166"/>
      <c r="B299" s="166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</row>
    <row r="300" spans="1:28" ht="25.5" customHeight="1" x14ac:dyDescent="0.4">
      <c r="A300" s="166"/>
      <c r="B300" s="166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</row>
    <row r="301" spans="1:28" ht="25.5" customHeight="1" x14ac:dyDescent="0.4">
      <c r="A301" s="166"/>
      <c r="B301" s="166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</row>
    <row r="302" spans="1:28" ht="25.5" customHeight="1" x14ac:dyDescent="0.4">
      <c r="A302" s="166"/>
      <c r="B302" s="166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</row>
    <row r="303" spans="1:28" ht="25.5" customHeight="1" x14ac:dyDescent="0.4">
      <c r="A303" s="166"/>
      <c r="B303" s="166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</row>
    <row r="304" spans="1:28" ht="25.5" customHeight="1" x14ac:dyDescent="0.4">
      <c r="A304" s="166"/>
      <c r="B304" s="166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</row>
    <row r="305" spans="1:28" ht="25.5" customHeight="1" x14ac:dyDescent="0.4">
      <c r="A305" s="166"/>
      <c r="B305" s="166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</row>
    <row r="306" spans="1:28" ht="25.5" customHeight="1" x14ac:dyDescent="0.4">
      <c r="A306" s="166"/>
      <c r="B306" s="166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</row>
    <row r="307" spans="1:28" ht="25.5" customHeight="1" x14ac:dyDescent="0.4">
      <c r="A307" s="166"/>
      <c r="B307" s="166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</row>
    <row r="308" spans="1:28" ht="25.5" customHeight="1" x14ac:dyDescent="0.4">
      <c r="A308" s="166"/>
      <c r="B308" s="166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</row>
    <row r="309" spans="1:28" ht="25.5" customHeight="1" x14ac:dyDescent="0.4">
      <c r="A309" s="166"/>
      <c r="B309" s="166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</row>
    <row r="310" spans="1:28" ht="25.5" customHeight="1" x14ac:dyDescent="0.4">
      <c r="A310" s="166"/>
      <c r="B310" s="166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</row>
    <row r="311" spans="1:28" ht="25.5" customHeight="1" x14ac:dyDescent="0.4">
      <c r="A311" s="166"/>
      <c r="B311" s="166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</row>
    <row r="312" spans="1:28" ht="25.5" customHeight="1" x14ac:dyDescent="0.4">
      <c r="A312" s="166"/>
      <c r="B312" s="166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</row>
    <row r="313" spans="1:28" ht="25.5" customHeight="1" x14ac:dyDescent="0.4">
      <c r="A313" s="166"/>
      <c r="B313" s="166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</row>
    <row r="314" spans="1:28" ht="25.5" customHeight="1" x14ac:dyDescent="0.4">
      <c r="A314" s="166"/>
      <c r="B314" s="166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</row>
    <row r="315" spans="1:28" ht="25.5" customHeight="1" x14ac:dyDescent="0.4">
      <c r="A315" s="166"/>
      <c r="B315" s="166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</row>
    <row r="316" spans="1:28" ht="25.5" customHeight="1" x14ac:dyDescent="0.4">
      <c r="A316" s="166"/>
      <c r="B316" s="166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</row>
    <row r="317" spans="1:28" ht="25.5" customHeight="1" x14ac:dyDescent="0.4">
      <c r="A317" s="166"/>
      <c r="B317" s="166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</row>
    <row r="318" spans="1:28" ht="25.5" customHeight="1" x14ac:dyDescent="0.4">
      <c r="A318" s="166"/>
      <c r="B318" s="166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</row>
    <row r="319" spans="1:28" ht="25.5" customHeight="1" x14ac:dyDescent="0.4">
      <c r="A319" s="166"/>
      <c r="B319" s="166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</row>
    <row r="320" spans="1:28" ht="25.5" customHeight="1" x14ac:dyDescent="0.4">
      <c r="A320" s="166"/>
      <c r="B320" s="166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</row>
    <row r="321" spans="1:28" ht="25.5" customHeight="1" x14ac:dyDescent="0.4">
      <c r="A321" s="166"/>
      <c r="B321" s="166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</row>
    <row r="322" spans="1:28" ht="25.5" customHeight="1" x14ac:dyDescent="0.4">
      <c r="A322" s="166"/>
      <c r="B322" s="166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</row>
    <row r="323" spans="1:28" ht="25.5" customHeight="1" x14ac:dyDescent="0.4">
      <c r="A323" s="166"/>
      <c r="B323" s="166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</row>
    <row r="324" spans="1:28" ht="25.5" customHeight="1" x14ac:dyDescent="0.4">
      <c r="A324" s="166"/>
      <c r="B324" s="166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</row>
    <row r="325" spans="1:28" ht="25.5" customHeight="1" x14ac:dyDescent="0.4">
      <c r="A325" s="166"/>
      <c r="B325" s="166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</row>
    <row r="326" spans="1:28" ht="25.5" customHeight="1" x14ac:dyDescent="0.4">
      <c r="A326" s="166"/>
      <c r="B326" s="166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</row>
    <row r="327" spans="1:28" ht="25.5" customHeight="1" x14ac:dyDescent="0.4">
      <c r="A327" s="166"/>
      <c r="B327" s="166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</row>
    <row r="328" spans="1:28" ht="25.5" customHeight="1" x14ac:dyDescent="0.4">
      <c r="A328" s="166"/>
      <c r="B328" s="166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</row>
    <row r="329" spans="1:28" ht="25.5" customHeight="1" x14ac:dyDescent="0.4">
      <c r="A329" s="166"/>
      <c r="B329" s="166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</row>
    <row r="330" spans="1:28" ht="25.5" customHeight="1" x14ac:dyDescent="0.4">
      <c r="A330" s="166"/>
      <c r="B330" s="166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</row>
    <row r="331" spans="1:28" ht="25.5" customHeight="1" x14ac:dyDescent="0.4">
      <c r="A331" s="166"/>
      <c r="B331" s="166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</row>
    <row r="332" spans="1:28" ht="25.5" customHeight="1" x14ac:dyDescent="0.4">
      <c r="A332" s="166"/>
      <c r="B332" s="166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</row>
    <row r="333" spans="1:28" ht="25.5" customHeight="1" x14ac:dyDescent="0.4">
      <c r="A333" s="166"/>
      <c r="B333" s="166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</row>
    <row r="334" spans="1:28" ht="25.5" customHeight="1" x14ac:dyDescent="0.4">
      <c r="A334" s="166"/>
      <c r="B334" s="166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</row>
    <row r="335" spans="1:28" ht="25.5" customHeight="1" x14ac:dyDescent="0.4">
      <c r="A335" s="166"/>
      <c r="B335" s="166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</row>
    <row r="336" spans="1:28" ht="25.5" customHeight="1" x14ac:dyDescent="0.4">
      <c r="A336" s="166"/>
      <c r="B336" s="166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</row>
    <row r="337" spans="1:28" ht="25.5" customHeight="1" x14ac:dyDescent="0.4">
      <c r="A337" s="166"/>
      <c r="B337" s="166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</row>
    <row r="338" spans="1:28" ht="25.5" customHeight="1" x14ac:dyDescent="0.4">
      <c r="A338" s="166"/>
      <c r="B338" s="166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</row>
    <row r="339" spans="1:28" ht="25.5" customHeight="1" x14ac:dyDescent="0.4">
      <c r="A339" s="166"/>
      <c r="B339" s="166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</row>
    <row r="340" spans="1:28" ht="25.5" customHeight="1" x14ac:dyDescent="0.4">
      <c r="A340" s="166"/>
      <c r="B340" s="166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</row>
    <row r="341" spans="1:28" ht="25.5" customHeight="1" x14ac:dyDescent="0.4">
      <c r="A341" s="166"/>
      <c r="B341" s="166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</row>
    <row r="342" spans="1:28" ht="25.5" customHeight="1" x14ac:dyDescent="0.4">
      <c r="A342" s="166"/>
      <c r="B342" s="166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</row>
    <row r="343" spans="1:28" ht="25.5" customHeight="1" x14ac:dyDescent="0.4">
      <c r="A343" s="166"/>
      <c r="B343" s="166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</row>
    <row r="344" spans="1:28" ht="25.5" customHeight="1" x14ac:dyDescent="0.4">
      <c r="A344" s="166"/>
      <c r="B344" s="166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</row>
    <row r="345" spans="1:28" ht="25.5" customHeight="1" x14ac:dyDescent="0.4">
      <c r="A345" s="166"/>
      <c r="B345" s="166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</row>
    <row r="346" spans="1:28" ht="25.5" customHeight="1" x14ac:dyDescent="0.4">
      <c r="A346" s="166"/>
      <c r="B346" s="166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</row>
    <row r="347" spans="1:28" ht="25.5" customHeight="1" x14ac:dyDescent="0.4">
      <c r="A347" s="166"/>
      <c r="B347" s="166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</row>
    <row r="348" spans="1:28" ht="25.5" customHeight="1" x14ac:dyDescent="0.4">
      <c r="A348" s="166"/>
      <c r="B348" s="166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</row>
    <row r="349" spans="1:28" ht="25.5" customHeight="1" x14ac:dyDescent="0.4">
      <c r="A349" s="166"/>
      <c r="B349" s="166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</row>
    <row r="350" spans="1:28" ht="25.5" customHeight="1" x14ac:dyDescent="0.4">
      <c r="A350" s="166"/>
      <c r="B350" s="166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</row>
    <row r="351" spans="1:28" ht="25.5" customHeight="1" x14ac:dyDescent="0.4">
      <c r="A351" s="166"/>
      <c r="B351" s="166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</row>
    <row r="352" spans="1:28" ht="25.5" customHeight="1" x14ac:dyDescent="0.4">
      <c r="A352" s="166"/>
      <c r="B352" s="166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</row>
    <row r="353" spans="1:28" ht="25.5" customHeight="1" x14ac:dyDescent="0.4">
      <c r="A353" s="166"/>
      <c r="B353" s="166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</row>
    <row r="354" spans="1:28" ht="25.5" customHeight="1" x14ac:dyDescent="0.4">
      <c r="A354" s="166"/>
      <c r="B354" s="166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</row>
    <row r="355" spans="1:28" ht="25.5" customHeight="1" x14ac:dyDescent="0.4">
      <c r="A355" s="166"/>
      <c r="B355" s="166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</row>
    <row r="356" spans="1:28" ht="25.5" customHeight="1" x14ac:dyDescent="0.4">
      <c r="A356" s="166"/>
      <c r="B356" s="166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</row>
    <row r="357" spans="1:28" ht="25.5" customHeight="1" x14ac:dyDescent="0.4">
      <c r="A357" s="166"/>
      <c r="B357" s="166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</row>
    <row r="358" spans="1:28" ht="25.5" customHeight="1" x14ac:dyDescent="0.4">
      <c r="A358" s="166"/>
      <c r="B358" s="166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</row>
    <row r="359" spans="1:28" ht="25.5" customHeight="1" x14ac:dyDescent="0.4">
      <c r="A359" s="166"/>
      <c r="B359" s="166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</row>
    <row r="360" spans="1:28" ht="25.5" customHeight="1" x14ac:dyDescent="0.4">
      <c r="A360" s="166"/>
      <c r="B360" s="166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</row>
    <row r="361" spans="1:28" ht="25.5" customHeight="1" x14ac:dyDescent="0.4">
      <c r="A361" s="166"/>
      <c r="B361" s="166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</row>
    <row r="362" spans="1:28" ht="25.5" customHeight="1" x14ac:dyDescent="0.4">
      <c r="A362" s="166"/>
      <c r="B362" s="166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</row>
    <row r="363" spans="1:28" ht="25.5" customHeight="1" x14ac:dyDescent="0.4">
      <c r="A363" s="166"/>
      <c r="B363" s="166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</row>
    <row r="364" spans="1:28" ht="25.5" customHeight="1" x14ac:dyDescent="0.4">
      <c r="A364" s="166"/>
      <c r="B364" s="166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</row>
    <row r="365" spans="1:28" ht="25.5" customHeight="1" x14ac:dyDescent="0.4">
      <c r="A365" s="166"/>
      <c r="B365" s="166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</row>
    <row r="366" spans="1:28" ht="25.5" customHeight="1" x14ac:dyDescent="0.4">
      <c r="A366" s="166"/>
      <c r="B366" s="166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</row>
    <row r="367" spans="1:28" ht="25.5" customHeight="1" x14ac:dyDescent="0.4">
      <c r="A367" s="166"/>
      <c r="B367" s="166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</row>
    <row r="368" spans="1:28" ht="25.5" customHeight="1" x14ac:dyDescent="0.4">
      <c r="A368" s="166"/>
      <c r="B368" s="166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</row>
    <row r="369" spans="1:28" ht="25.5" customHeight="1" x14ac:dyDescent="0.4">
      <c r="A369" s="166"/>
      <c r="B369" s="166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</row>
    <row r="370" spans="1:28" ht="25.5" customHeight="1" x14ac:dyDescent="0.4">
      <c r="A370" s="166"/>
      <c r="B370" s="166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</row>
    <row r="371" spans="1:28" ht="25.5" customHeight="1" x14ac:dyDescent="0.4">
      <c r="A371" s="166"/>
      <c r="B371" s="166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</row>
    <row r="372" spans="1:28" ht="25.5" customHeight="1" x14ac:dyDescent="0.4">
      <c r="A372" s="166"/>
      <c r="B372" s="166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</row>
    <row r="373" spans="1:28" ht="25.5" customHeight="1" x14ac:dyDescent="0.4">
      <c r="A373" s="166"/>
      <c r="B373" s="166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</row>
    <row r="374" spans="1:28" ht="25.5" customHeight="1" x14ac:dyDescent="0.4">
      <c r="A374" s="166"/>
      <c r="B374" s="166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</row>
    <row r="375" spans="1:28" ht="25.5" customHeight="1" x14ac:dyDescent="0.4">
      <c r="A375" s="166"/>
      <c r="B375" s="166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</row>
    <row r="376" spans="1:28" ht="25.5" customHeight="1" x14ac:dyDescent="0.4">
      <c r="A376" s="166"/>
      <c r="B376" s="166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</row>
    <row r="377" spans="1:28" ht="25.5" customHeight="1" x14ac:dyDescent="0.4">
      <c r="A377" s="166"/>
      <c r="B377" s="166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</row>
    <row r="378" spans="1:28" ht="25.5" customHeight="1" x14ac:dyDescent="0.4">
      <c r="A378" s="166"/>
      <c r="B378" s="166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</row>
    <row r="379" spans="1:28" ht="25.5" customHeight="1" x14ac:dyDescent="0.4">
      <c r="A379" s="166"/>
      <c r="B379" s="166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</row>
    <row r="380" spans="1:28" ht="25.5" customHeight="1" x14ac:dyDescent="0.4">
      <c r="A380" s="166"/>
      <c r="B380" s="166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</row>
    <row r="381" spans="1:28" ht="25.5" customHeight="1" x14ac:dyDescent="0.4">
      <c r="A381" s="166"/>
      <c r="B381" s="166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</row>
    <row r="382" spans="1:28" ht="25.5" customHeight="1" x14ac:dyDescent="0.4">
      <c r="A382" s="166"/>
      <c r="B382" s="166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</row>
    <row r="383" spans="1:28" ht="25.5" customHeight="1" x14ac:dyDescent="0.4">
      <c r="A383" s="166"/>
      <c r="B383" s="166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</row>
    <row r="384" spans="1:28" ht="25.5" customHeight="1" x14ac:dyDescent="0.4">
      <c r="A384" s="166"/>
      <c r="B384" s="166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</row>
    <row r="385" spans="1:28" ht="25.5" customHeight="1" x14ac:dyDescent="0.4">
      <c r="A385" s="166"/>
      <c r="B385" s="166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</row>
    <row r="386" spans="1:28" ht="25.5" customHeight="1" x14ac:dyDescent="0.4">
      <c r="A386" s="166"/>
      <c r="B386" s="166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</row>
    <row r="387" spans="1:28" ht="25.5" customHeight="1" x14ac:dyDescent="0.4">
      <c r="A387" s="166"/>
      <c r="B387" s="166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</row>
    <row r="388" spans="1:28" ht="25.5" customHeight="1" x14ac:dyDescent="0.4">
      <c r="A388" s="166"/>
      <c r="B388" s="166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</row>
    <row r="389" spans="1:28" ht="25.5" customHeight="1" x14ac:dyDescent="0.4">
      <c r="A389" s="166"/>
      <c r="B389" s="166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</row>
    <row r="390" spans="1:28" ht="25.5" customHeight="1" x14ac:dyDescent="0.4">
      <c r="A390" s="166"/>
      <c r="B390" s="166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</row>
    <row r="391" spans="1:28" ht="25.5" customHeight="1" x14ac:dyDescent="0.4">
      <c r="A391" s="166"/>
      <c r="B391" s="166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</row>
    <row r="392" spans="1:28" ht="25.5" customHeight="1" x14ac:dyDescent="0.4">
      <c r="A392" s="166"/>
      <c r="B392" s="166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</row>
    <row r="393" spans="1:28" ht="25.5" customHeight="1" x14ac:dyDescent="0.4">
      <c r="A393" s="166"/>
      <c r="B393" s="166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</row>
    <row r="394" spans="1:28" ht="25.5" customHeight="1" x14ac:dyDescent="0.4">
      <c r="A394" s="166"/>
      <c r="B394" s="166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</row>
    <row r="395" spans="1:28" ht="25.5" customHeight="1" x14ac:dyDescent="0.4">
      <c r="A395" s="166"/>
      <c r="B395" s="166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</row>
    <row r="396" spans="1:28" ht="25.5" customHeight="1" x14ac:dyDescent="0.4">
      <c r="A396" s="166"/>
      <c r="B396" s="166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</row>
    <row r="397" spans="1:28" ht="25.5" customHeight="1" x14ac:dyDescent="0.4">
      <c r="A397" s="166"/>
      <c r="B397" s="166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</row>
    <row r="398" spans="1:28" ht="25.5" customHeight="1" x14ac:dyDescent="0.4">
      <c r="A398" s="166"/>
      <c r="B398" s="166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</row>
    <row r="399" spans="1:28" ht="25.5" customHeight="1" x14ac:dyDescent="0.4">
      <c r="A399" s="166"/>
      <c r="B399" s="166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</row>
    <row r="400" spans="1:28" ht="25.5" customHeight="1" x14ac:dyDescent="0.4">
      <c r="A400" s="166"/>
      <c r="B400" s="166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</row>
    <row r="401" spans="1:28" ht="25.5" customHeight="1" x14ac:dyDescent="0.4">
      <c r="A401" s="166"/>
      <c r="B401" s="166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</row>
    <row r="402" spans="1:28" ht="25.5" customHeight="1" x14ac:dyDescent="0.4">
      <c r="A402" s="166"/>
      <c r="B402" s="166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</row>
    <row r="403" spans="1:28" ht="25.5" customHeight="1" x14ac:dyDescent="0.4">
      <c r="A403" s="166"/>
      <c r="B403" s="166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</row>
    <row r="404" spans="1:28" ht="25.5" customHeight="1" x14ac:dyDescent="0.4">
      <c r="A404" s="166"/>
      <c r="B404" s="166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</row>
    <row r="405" spans="1:28" ht="25.5" customHeight="1" x14ac:dyDescent="0.4">
      <c r="A405" s="166"/>
      <c r="B405" s="166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</row>
    <row r="406" spans="1:28" ht="25.5" customHeight="1" x14ac:dyDescent="0.4">
      <c r="A406" s="166"/>
      <c r="B406" s="166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</row>
    <row r="407" spans="1:28" ht="25.5" customHeight="1" x14ac:dyDescent="0.4">
      <c r="A407" s="166"/>
      <c r="B407" s="166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</row>
    <row r="408" spans="1:28" ht="25.5" customHeight="1" x14ac:dyDescent="0.4">
      <c r="A408" s="166"/>
      <c r="B408" s="166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</row>
    <row r="409" spans="1:28" ht="25.5" customHeight="1" x14ac:dyDescent="0.4">
      <c r="A409" s="166"/>
      <c r="B409" s="166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</row>
    <row r="410" spans="1:28" ht="25.5" customHeight="1" x14ac:dyDescent="0.4">
      <c r="A410" s="166"/>
      <c r="B410" s="166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</row>
    <row r="411" spans="1:28" ht="25.5" customHeight="1" x14ac:dyDescent="0.4">
      <c r="A411" s="166"/>
      <c r="B411" s="166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</row>
    <row r="412" spans="1:28" ht="25.5" customHeight="1" x14ac:dyDescent="0.4">
      <c r="A412" s="166"/>
      <c r="B412" s="166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</row>
    <row r="413" spans="1:28" ht="25.5" customHeight="1" x14ac:dyDescent="0.4">
      <c r="A413" s="166"/>
      <c r="B413" s="166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</row>
    <row r="414" spans="1:28" ht="25.5" customHeight="1" x14ac:dyDescent="0.4">
      <c r="A414" s="166"/>
      <c r="B414" s="166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</row>
    <row r="415" spans="1:28" ht="25.5" customHeight="1" x14ac:dyDescent="0.4">
      <c r="A415" s="166"/>
      <c r="B415" s="166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</row>
    <row r="416" spans="1:28" ht="25.5" customHeight="1" x14ac:dyDescent="0.4">
      <c r="A416" s="166"/>
      <c r="B416" s="166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</row>
    <row r="417" spans="1:28" ht="25.5" customHeight="1" x14ac:dyDescent="0.4">
      <c r="A417" s="166"/>
      <c r="B417" s="166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</row>
    <row r="418" spans="1:28" ht="25.5" customHeight="1" x14ac:dyDescent="0.4">
      <c r="A418" s="166"/>
      <c r="B418" s="166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</row>
    <row r="419" spans="1:28" ht="25.5" customHeight="1" x14ac:dyDescent="0.4">
      <c r="A419" s="166"/>
      <c r="B419" s="166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</row>
    <row r="420" spans="1:28" ht="25.5" customHeight="1" x14ac:dyDescent="0.4">
      <c r="A420" s="166"/>
      <c r="B420" s="166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</row>
    <row r="421" spans="1:28" ht="25.5" customHeight="1" x14ac:dyDescent="0.4">
      <c r="A421" s="166"/>
      <c r="B421" s="166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</row>
    <row r="422" spans="1:28" ht="25.5" customHeight="1" x14ac:dyDescent="0.4">
      <c r="A422" s="166"/>
      <c r="B422" s="166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</row>
    <row r="423" spans="1:28" ht="25.5" customHeight="1" x14ac:dyDescent="0.4">
      <c r="A423" s="166"/>
      <c r="B423" s="166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</row>
    <row r="424" spans="1:28" ht="25.5" customHeight="1" x14ac:dyDescent="0.4">
      <c r="A424" s="166"/>
      <c r="B424" s="166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</row>
    <row r="425" spans="1:28" ht="25.5" customHeight="1" x14ac:dyDescent="0.4">
      <c r="A425" s="166"/>
      <c r="B425" s="166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</row>
    <row r="426" spans="1:28" ht="25.5" customHeight="1" x14ac:dyDescent="0.4">
      <c r="A426" s="166"/>
      <c r="B426" s="166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</row>
    <row r="427" spans="1:28" ht="25.5" customHeight="1" x14ac:dyDescent="0.4">
      <c r="A427" s="166"/>
      <c r="B427" s="166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</row>
    <row r="428" spans="1:28" ht="25.5" customHeight="1" x14ac:dyDescent="0.4">
      <c r="A428" s="166"/>
      <c r="B428" s="166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</row>
    <row r="429" spans="1:28" ht="25.5" customHeight="1" x14ac:dyDescent="0.4">
      <c r="A429" s="166"/>
      <c r="B429" s="166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</row>
    <row r="430" spans="1:28" ht="25.5" customHeight="1" x14ac:dyDescent="0.4">
      <c r="A430" s="166"/>
      <c r="B430" s="166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</row>
    <row r="431" spans="1:28" ht="25.5" customHeight="1" x14ac:dyDescent="0.4">
      <c r="A431" s="166"/>
      <c r="B431" s="166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</row>
    <row r="432" spans="1:28" ht="25.5" customHeight="1" x14ac:dyDescent="0.4">
      <c r="A432" s="166"/>
      <c r="B432" s="166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</row>
    <row r="433" spans="1:28" ht="25.5" customHeight="1" x14ac:dyDescent="0.4">
      <c r="A433" s="166"/>
      <c r="B433" s="166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</row>
    <row r="434" spans="1:28" ht="25.5" customHeight="1" x14ac:dyDescent="0.4">
      <c r="A434" s="166"/>
      <c r="B434" s="166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</row>
    <row r="435" spans="1:28" ht="25.5" customHeight="1" x14ac:dyDescent="0.4">
      <c r="A435" s="166"/>
      <c r="B435" s="166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</row>
    <row r="436" spans="1:28" ht="25.5" customHeight="1" x14ac:dyDescent="0.4">
      <c r="A436" s="166"/>
      <c r="B436" s="166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</row>
    <row r="437" spans="1:28" ht="25.5" customHeight="1" x14ac:dyDescent="0.4">
      <c r="A437" s="166"/>
      <c r="B437" s="166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</row>
    <row r="438" spans="1:28" ht="25.5" customHeight="1" x14ac:dyDescent="0.4">
      <c r="A438" s="166"/>
      <c r="B438" s="166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</row>
    <row r="439" spans="1:28" ht="25.5" customHeight="1" x14ac:dyDescent="0.4">
      <c r="A439" s="166"/>
      <c r="B439" s="166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</row>
    <row r="440" spans="1:28" ht="25.5" customHeight="1" x14ac:dyDescent="0.4">
      <c r="A440" s="166"/>
      <c r="B440" s="166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</row>
    <row r="441" spans="1:28" ht="25.5" customHeight="1" x14ac:dyDescent="0.4">
      <c r="A441" s="166"/>
      <c r="B441" s="166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</row>
    <row r="442" spans="1:28" ht="25.5" customHeight="1" x14ac:dyDescent="0.4">
      <c r="A442" s="166"/>
      <c r="B442" s="166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</row>
    <row r="443" spans="1:28" ht="25.5" customHeight="1" x14ac:dyDescent="0.4">
      <c r="A443" s="166"/>
      <c r="B443" s="166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</row>
    <row r="444" spans="1:28" ht="25.5" customHeight="1" x14ac:dyDescent="0.4">
      <c r="A444" s="166"/>
      <c r="B444" s="166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</row>
    <row r="445" spans="1:28" ht="25.5" customHeight="1" x14ac:dyDescent="0.4">
      <c r="A445" s="166"/>
      <c r="B445" s="166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</row>
    <row r="446" spans="1:28" ht="25.5" customHeight="1" x14ac:dyDescent="0.4">
      <c r="A446" s="166"/>
      <c r="B446" s="166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</row>
    <row r="447" spans="1:28" ht="25.5" customHeight="1" x14ac:dyDescent="0.4">
      <c r="A447" s="166"/>
      <c r="B447" s="166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</row>
    <row r="448" spans="1:28" ht="25.5" customHeight="1" x14ac:dyDescent="0.4">
      <c r="A448" s="166"/>
      <c r="B448" s="166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</row>
    <row r="449" spans="1:28" ht="25.5" customHeight="1" x14ac:dyDescent="0.4">
      <c r="A449" s="166"/>
      <c r="B449" s="166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</row>
    <row r="450" spans="1:28" ht="25.5" customHeight="1" x14ac:dyDescent="0.4">
      <c r="A450" s="166"/>
      <c r="B450" s="166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</row>
    <row r="451" spans="1:28" ht="25.5" customHeight="1" x14ac:dyDescent="0.4">
      <c r="A451" s="166"/>
      <c r="B451" s="166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</row>
    <row r="452" spans="1:28" ht="25.5" customHeight="1" x14ac:dyDescent="0.4">
      <c r="A452" s="166"/>
      <c r="B452" s="166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</row>
    <row r="453" spans="1:28" ht="25.5" customHeight="1" x14ac:dyDescent="0.4">
      <c r="A453" s="166"/>
      <c r="B453" s="166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</row>
    <row r="454" spans="1:28" ht="25.5" customHeight="1" x14ac:dyDescent="0.4">
      <c r="A454" s="166"/>
      <c r="B454" s="166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</row>
    <row r="455" spans="1:28" ht="25.5" customHeight="1" x14ac:dyDescent="0.4">
      <c r="A455" s="166"/>
      <c r="B455" s="166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</row>
    <row r="456" spans="1:28" ht="25.5" customHeight="1" x14ac:dyDescent="0.4">
      <c r="A456" s="166"/>
      <c r="B456" s="166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</row>
    <row r="457" spans="1:28" ht="25.5" customHeight="1" x14ac:dyDescent="0.4">
      <c r="A457" s="166"/>
      <c r="B457" s="166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</row>
    <row r="458" spans="1:28" ht="25.5" customHeight="1" x14ac:dyDescent="0.4">
      <c r="A458" s="166"/>
      <c r="B458" s="166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</row>
    <row r="459" spans="1:28" ht="25.5" customHeight="1" x14ac:dyDescent="0.4">
      <c r="A459" s="166"/>
      <c r="B459" s="166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</row>
    <row r="460" spans="1:28" ht="25.5" customHeight="1" x14ac:dyDescent="0.4">
      <c r="A460" s="166"/>
      <c r="B460" s="166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</row>
    <row r="461" spans="1:28" ht="25.5" customHeight="1" x14ac:dyDescent="0.4">
      <c r="A461" s="166"/>
      <c r="B461" s="166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</row>
    <row r="462" spans="1:28" ht="25.5" customHeight="1" x14ac:dyDescent="0.4">
      <c r="A462" s="166"/>
      <c r="B462" s="166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</row>
    <row r="463" spans="1:28" ht="25.5" customHeight="1" x14ac:dyDescent="0.4">
      <c r="A463" s="166"/>
      <c r="B463" s="166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</row>
    <row r="464" spans="1:28" ht="25.5" customHeight="1" x14ac:dyDescent="0.4">
      <c r="A464" s="166"/>
      <c r="B464" s="166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</row>
    <row r="465" spans="1:28" ht="25.5" customHeight="1" x14ac:dyDescent="0.4">
      <c r="A465" s="166"/>
      <c r="B465" s="166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</row>
    <row r="466" spans="1:28" ht="25.5" customHeight="1" x14ac:dyDescent="0.4">
      <c r="A466" s="166"/>
      <c r="B466" s="166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</row>
    <row r="467" spans="1:28" ht="25.5" customHeight="1" x14ac:dyDescent="0.4">
      <c r="A467" s="166"/>
      <c r="B467" s="166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</row>
    <row r="468" spans="1:28" ht="25.5" customHeight="1" x14ac:dyDescent="0.4">
      <c r="A468" s="166"/>
      <c r="B468" s="166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</row>
    <row r="469" spans="1:28" ht="25.5" customHeight="1" x14ac:dyDescent="0.4">
      <c r="A469" s="166"/>
      <c r="B469" s="166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</row>
    <row r="470" spans="1:28" ht="25.5" customHeight="1" x14ac:dyDescent="0.4">
      <c r="A470" s="166"/>
      <c r="B470" s="166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</row>
    <row r="471" spans="1:28" ht="25.5" customHeight="1" x14ac:dyDescent="0.4">
      <c r="A471" s="166"/>
      <c r="B471" s="166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</row>
    <row r="472" spans="1:28" ht="25.5" customHeight="1" x14ac:dyDescent="0.4">
      <c r="A472" s="166"/>
      <c r="B472" s="166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</row>
    <row r="473" spans="1:28" ht="25.5" customHeight="1" x14ac:dyDescent="0.4">
      <c r="A473" s="166"/>
      <c r="B473" s="166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</row>
    <row r="474" spans="1:28" ht="25.5" customHeight="1" x14ac:dyDescent="0.4">
      <c r="A474" s="166"/>
      <c r="B474" s="166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</row>
    <row r="475" spans="1:28" ht="25.5" customHeight="1" x14ac:dyDescent="0.4">
      <c r="A475" s="166"/>
      <c r="B475" s="166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</row>
    <row r="476" spans="1:28" ht="25.5" customHeight="1" x14ac:dyDescent="0.4">
      <c r="A476" s="166"/>
      <c r="B476" s="166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</row>
    <row r="477" spans="1:28" ht="25.5" customHeight="1" x14ac:dyDescent="0.4">
      <c r="A477" s="166"/>
      <c r="B477" s="166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</row>
    <row r="478" spans="1:28" ht="25.5" customHeight="1" x14ac:dyDescent="0.4">
      <c r="A478" s="166"/>
      <c r="B478" s="166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</row>
    <row r="479" spans="1:28" ht="25.5" customHeight="1" x14ac:dyDescent="0.4">
      <c r="A479" s="166"/>
      <c r="B479" s="166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</row>
    <row r="480" spans="1:28" ht="25.5" customHeight="1" x14ac:dyDescent="0.4">
      <c r="A480" s="166"/>
      <c r="B480" s="166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</row>
    <row r="481" spans="1:28" ht="25.5" customHeight="1" x14ac:dyDescent="0.4">
      <c r="A481" s="166"/>
      <c r="B481" s="166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</row>
    <row r="482" spans="1:28" ht="25.5" customHeight="1" x14ac:dyDescent="0.4">
      <c r="A482" s="166"/>
      <c r="B482" s="166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</row>
    <row r="483" spans="1:28" ht="25.5" customHeight="1" x14ac:dyDescent="0.4">
      <c r="A483" s="166"/>
      <c r="B483" s="166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</row>
    <row r="484" spans="1:28" ht="25.5" customHeight="1" x14ac:dyDescent="0.4">
      <c r="A484" s="166"/>
      <c r="B484" s="166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</row>
    <row r="485" spans="1:28" ht="25.5" customHeight="1" x14ac:dyDescent="0.4">
      <c r="A485" s="166"/>
      <c r="B485" s="166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</row>
    <row r="486" spans="1:28" ht="25.5" customHeight="1" x14ac:dyDescent="0.4">
      <c r="A486" s="166"/>
      <c r="B486" s="166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</row>
    <row r="487" spans="1:28" ht="25.5" customHeight="1" x14ac:dyDescent="0.4">
      <c r="A487" s="166"/>
      <c r="B487" s="166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</row>
    <row r="488" spans="1:28" ht="25.5" customHeight="1" x14ac:dyDescent="0.4">
      <c r="A488" s="166"/>
      <c r="B488" s="166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</row>
    <row r="489" spans="1:28" ht="25.5" customHeight="1" x14ac:dyDescent="0.4">
      <c r="A489" s="166"/>
      <c r="B489" s="166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</row>
    <row r="490" spans="1:28" ht="25.5" customHeight="1" x14ac:dyDescent="0.4">
      <c r="A490" s="166"/>
      <c r="B490" s="166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</row>
    <row r="491" spans="1:28" ht="25.5" customHeight="1" x14ac:dyDescent="0.4">
      <c r="A491" s="166"/>
      <c r="B491" s="166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</row>
    <row r="492" spans="1:28" ht="25.5" customHeight="1" x14ac:dyDescent="0.4">
      <c r="A492" s="166"/>
      <c r="B492" s="166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</row>
    <row r="493" spans="1:28" ht="25.5" customHeight="1" x14ac:dyDescent="0.4">
      <c r="A493" s="166"/>
      <c r="B493" s="166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</row>
    <row r="494" spans="1:28" ht="25.5" customHeight="1" x14ac:dyDescent="0.4">
      <c r="A494" s="166"/>
      <c r="B494" s="166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</row>
    <row r="495" spans="1:28" ht="25.5" customHeight="1" x14ac:dyDescent="0.4">
      <c r="A495" s="166"/>
      <c r="B495" s="166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</row>
    <row r="496" spans="1:28" ht="25.5" customHeight="1" x14ac:dyDescent="0.4">
      <c r="A496" s="166"/>
      <c r="B496" s="166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</row>
    <row r="497" spans="1:28" ht="25.5" customHeight="1" x14ac:dyDescent="0.4">
      <c r="A497" s="166"/>
      <c r="B497" s="166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</row>
    <row r="498" spans="1:28" ht="25.5" customHeight="1" x14ac:dyDescent="0.4">
      <c r="A498" s="166"/>
      <c r="B498" s="166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</row>
    <row r="499" spans="1:28" ht="25.5" customHeight="1" x14ac:dyDescent="0.4">
      <c r="A499" s="166"/>
      <c r="B499" s="166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</row>
    <row r="500" spans="1:28" ht="25.5" customHeight="1" x14ac:dyDescent="0.4">
      <c r="A500" s="166"/>
      <c r="B500" s="166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</row>
    <row r="501" spans="1:28" ht="25.5" customHeight="1" x14ac:dyDescent="0.4">
      <c r="A501" s="166"/>
      <c r="B501" s="166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</row>
    <row r="502" spans="1:28" ht="25.5" customHeight="1" x14ac:dyDescent="0.4">
      <c r="A502" s="166"/>
      <c r="B502" s="166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</row>
    <row r="503" spans="1:28" ht="25.5" customHeight="1" x14ac:dyDescent="0.4">
      <c r="A503" s="166"/>
      <c r="B503" s="166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</row>
    <row r="504" spans="1:28" ht="25.5" customHeight="1" x14ac:dyDescent="0.4">
      <c r="A504" s="166"/>
      <c r="B504" s="166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</row>
    <row r="505" spans="1:28" ht="25.5" customHeight="1" x14ac:dyDescent="0.4">
      <c r="A505" s="166"/>
      <c r="B505" s="166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</row>
    <row r="506" spans="1:28" ht="25.5" customHeight="1" x14ac:dyDescent="0.4">
      <c r="A506" s="166"/>
      <c r="B506" s="166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</row>
    <row r="507" spans="1:28" ht="25.5" customHeight="1" x14ac:dyDescent="0.4">
      <c r="A507" s="166"/>
      <c r="B507" s="166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</row>
    <row r="508" spans="1:28" ht="25.5" customHeight="1" x14ac:dyDescent="0.4">
      <c r="A508" s="166"/>
      <c r="B508" s="166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</row>
    <row r="509" spans="1:28" ht="25.5" customHeight="1" x14ac:dyDescent="0.4">
      <c r="A509" s="166"/>
      <c r="B509" s="166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</row>
    <row r="510" spans="1:28" ht="25.5" customHeight="1" x14ac:dyDescent="0.4">
      <c r="A510" s="166"/>
      <c r="B510" s="166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</row>
    <row r="511" spans="1:28" ht="25.5" customHeight="1" x14ac:dyDescent="0.4">
      <c r="A511" s="166"/>
      <c r="B511" s="166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</row>
    <row r="512" spans="1:28" ht="25.5" customHeight="1" x14ac:dyDescent="0.4">
      <c r="A512" s="166"/>
      <c r="B512" s="166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</row>
    <row r="513" spans="1:28" ht="25.5" customHeight="1" x14ac:dyDescent="0.4">
      <c r="A513" s="166"/>
      <c r="B513" s="166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</row>
    <row r="514" spans="1:28" ht="25.5" customHeight="1" x14ac:dyDescent="0.4">
      <c r="A514" s="166"/>
      <c r="B514" s="166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</row>
    <row r="515" spans="1:28" ht="25.5" customHeight="1" x14ac:dyDescent="0.4">
      <c r="A515" s="166"/>
      <c r="B515" s="166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</row>
    <row r="516" spans="1:28" ht="25.5" customHeight="1" x14ac:dyDescent="0.4">
      <c r="A516" s="166"/>
      <c r="B516" s="166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</row>
    <row r="517" spans="1:28" ht="25.5" customHeight="1" x14ac:dyDescent="0.4">
      <c r="A517" s="166"/>
      <c r="B517" s="166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</row>
    <row r="518" spans="1:28" ht="25.5" customHeight="1" x14ac:dyDescent="0.4">
      <c r="A518" s="166"/>
      <c r="B518" s="166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</row>
    <row r="519" spans="1:28" ht="25.5" customHeight="1" x14ac:dyDescent="0.4">
      <c r="A519" s="166"/>
      <c r="B519" s="166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</row>
    <row r="520" spans="1:28" ht="25.5" customHeight="1" x14ac:dyDescent="0.4">
      <c r="A520" s="166"/>
      <c r="B520" s="166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</row>
    <row r="521" spans="1:28" ht="25.5" customHeight="1" x14ac:dyDescent="0.4">
      <c r="A521" s="166"/>
      <c r="B521" s="166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</row>
    <row r="522" spans="1:28" ht="25.5" customHeight="1" x14ac:dyDescent="0.4">
      <c r="A522" s="166"/>
      <c r="B522" s="166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</row>
    <row r="523" spans="1:28" ht="25.5" customHeight="1" x14ac:dyDescent="0.4">
      <c r="A523" s="166"/>
      <c r="B523" s="166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</row>
    <row r="524" spans="1:28" ht="25.5" customHeight="1" x14ac:dyDescent="0.4">
      <c r="A524" s="166"/>
      <c r="B524" s="166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</row>
    <row r="525" spans="1:28" ht="25.5" customHeight="1" x14ac:dyDescent="0.4">
      <c r="A525" s="166"/>
      <c r="B525" s="166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</row>
    <row r="526" spans="1:28" ht="25.5" customHeight="1" x14ac:dyDescent="0.4">
      <c r="A526" s="166"/>
      <c r="B526" s="166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</row>
    <row r="527" spans="1:28" ht="25.5" customHeight="1" x14ac:dyDescent="0.4">
      <c r="A527" s="166"/>
      <c r="B527" s="166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</row>
    <row r="528" spans="1:28" ht="25.5" customHeight="1" x14ac:dyDescent="0.4">
      <c r="A528" s="166"/>
      <c r="B528" s="166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</row>
    <row r="529" spans="1:28" ht="25.5" customHeight="1" x14ac:dyDescent="0.4">
      <c r="A529" s="166"/>
      <c r="B529" s="166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</row>
    <row r="530" spans="1:28" ht="25.5" customHeight="1" x14ac:dyDescent="0.4">
      <c r="A530" s="166"/>
      <c r="B530" s="166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</row>
    <row r="531" spans="1:28" ht="25.5" customHeight="1" x14ac:dyDescent="0.4">
      <c r="A531" s="166"/>
      <c r="B531" s="166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</row>
    <row r="532" spans="1:28" ht="25.5" customHeight="1" x14ac:dyDescent="0.4">
      <c r="A532" s="166"/>
      <c r="B532" s="166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</row>
    <row r="533" spans="1:28" ht="25.5" customHeight="1" x14ac:dyDescent="0.4">
      <c r="A533" s="166"/>
      <c r="B533" s="166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</row>
    <row r="534" spans="1:28" ht="25.5" customHeight="1" x14ac:dyDescent="0.4">
      <c r="A534" s="166"/>
      <c r="B534" s="166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</row>
    <row r="535" spans="1:28" ht="25.5" customHeight="1" x14ac:dyDescent="0.4">
      <c r="A535" s="166"/>
      <c r="B535" s="166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</row>
    <row r="536" spans="1:28" ht="25.5" customHeight="1" x14ac:dyDescent="0.4">
      <c r="A536" s="166"/>
      <c r="B536" s="166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</row>
    <row r="537" spans="1:28" ht="25.5" customHeight="1" x14ac:dyDescent="0.4">
      <c r="A537" s="166"/>
      <c r="B537" s="166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</row>
    <row r="538" spans="1:28" ht="25.5" customHeight="1" x14ac:dyDescent="0.4">
      <c r="A538" s="166"/>
      <c r="B538" s="166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</row>
    <row r="539" spans="1:28" ht="25.5" customHeight="1" x14ac:dyDescent="0.4">
      <c r="A539" s="166"/>
      <c r="B539" s="166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</row>
    <row r="540" spans="1:28" ht="25.5" customHeight="1" x14ac:dyDescent="0.4">
      <c r="A540" s="166"/>
      <c r="B540" s="166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</row>
    <row r="541" spans="1:28" ht="25.5" customHeight="1" x14ac:dyDescent="0.4">
      <c r="A541" s="166"/>
      <c r="B541" s="166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</row>
    <row r="542" spans="1:28" ht="25.5" customHeight="1" x14ac:dyDescent="0.4">
      <c r="A542" s="166"/>
      <c r="B542" s="166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</row>
    <row r="543" spans="1:28" ht="25.5" customHeight="1" x14ac:dyDescent="0.4">
      <c r="A543" s="166"/>
      <c r="B543" s="166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</row>
    <row r="544" spans="1:28" ht="25.5" customHeight="1" x14ac:dyDescent="0.4">
      <c r="A544" s="166"/>
      <c r="B544" s="166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</row>
    <row r="545" spans="1:28" ht="25.5" customHeight="1" x14ac:dyDescent="0.4">
      <c r="A545" s="166"/>
      <c r="B545" s="166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</row>
    <row r="546" spans="1:28" ht="25.5" customHeight="1" x14ac:dyDescent="0.4">
      <c r="A546" s="166"/>
      <c r="B546" s="166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</row>
    <row r="547" spans="1:28" ht="25.5" customHeight="1" x14ac:dyDescent="0.4">
      <c r="A547" s="166"/>
      <c r="B547" s="166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</row>
    <row r="548" spans="1:28" ht="25.5" customHeight="1" x14ac:dyDescent="0.4">
      <c r="A548" s="166"/>
      <c r="B548" s="166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</row>
    <row r="549" spans="1:28" ht="25.5" customHeight="1" x14ac:dyDescent="0.4">
      <c r="A549" s="166"/>
      <c r="B549" s="166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</row>
    <row r="550" spans="1:28" ht="25.5" customHeight="1" x14ac:dyDescent="0.4">
      <c r="A550" s="166"/>
      <c r="B550" s="166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</row>
    <row r="551" spans="1:28" ht="25.5" customHeight="1" x14ac:dyDescent="0.4">
      <c r="A551" s="166"/>
      <c r="B551" s="166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</row>
    <row r="552" spans="1:28" ht="25.5" customHeight="1" x14ac:dyDescent="0.4">
      <c r="A552" s="166"/>
      <c r="B552" s="166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</row>
    <row r="553" spans="1:28" ht="25.5" customHeight="1" x14ac:dyDescent="0.4">
      <c r="A553" s="166"/>
      <c r="B553" s="166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</row>
    <row r="554" spans="1:28" ht="25.5" customHeight="1" x14ac:dyDescent="0.4">
      <c r="A554" s="166"/>
      <c r="B554" s="166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</row>
    <row r="555" spans="1:28" ht="25.5" customHeight="1" x14ac:dyDescent="0.4">
      <c r="A555" s="166"/>
      <c r="B555" s="166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</row>
    <row r="556" spans="1:28" ht="25.5" customHeight="1" x14ac:dyDescent="0.4">
      <c r="A556" s="166"/>
      <c r="B556" s="166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</row>
    <row r="557" spans="1:28" ht="25.5" customHeight="1" x14ac:dyDescent="0.4">
      <c r="A557" s="166"/>
      <c r="B557" s="166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</row>
    <row r="558" spans="1:28" ht="25.5" customHeight="1" x14ac:dyDescent="0.4">
      <c r="A558" s="166"/>
      <c r="B558" s="166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</row>
    <row r="559" spans="1:28" ht="25.5" customHeight="1" x14ac:dyDescent="0.4">
      <c r="A559" s="166"/>
      <c r="B559" s="166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</row>
    <row r="560" spans="1:28" ht="25.5" customHeight="1" x14ac:dyDescent="0.4">
      <c r="A560" s="166"/>
      <c r="B560" s="166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</row>
    <row r="561" spans="1:28" ht="25.5" customHeight="1" x14ac:dyDescent="0.4">
      <c r="A561" s="166"/>
      <c r="B561" s="166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</row>
    <row r="562" spans="1:28" ht="25.5" customHeight="1" x14ac:dyDescent="0.4">
      <c r="A562" s="166"/>
      <c r="B562" s="166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</row>
    <row r="563" spans="1:28" ht="25.5" customHeight="1" x14ac:dyDescent="0.4">
      <c r="A563" s="166"/>
      <c r="B563" s="166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</row>
    <row r="564" spans="1:28" ht="25.5" customHeight="1" x14ac:dyDescent="0.4">
      <c r="A564" s="166"/>
      <c r="B564" s="166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</row>
    <row r="565" spans="1:28" ht="25.5" customHeight="1" x14ac:dyDescent="0.4">
      <c r="A565" s="166"/>
      <c r="B565" s="166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</row>
    <row r="566" spans="1:28" ht="25.5" customHeight="1" x14ac:dyDescent="0.4">
      <c r="A566" s="166"/>
      <c r="B566" s="166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</row>
    <row r="567" spans="1:28" ht="25.5" customHeight="1" x14ac:dyDescent="0.4">
      <c r="A567" s="166"/>
      <c r="B567" s="166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</row>
    <row r="568" spans="1:28" ht="25.5" customHeight="1" x14ac:dyDescent="0.4">
      <c r="A568" s="166"/>
      <c r="B568" s="166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</row>
    <row r="569" spans="1:28" ht="25.5" customHeight="1" x14ac:dyDescent="0.4">
      <c r="A569" s="166"/>
      <c r="B569" s="166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</row>
    <row r="570" spans="1:28" ht="25.5" customHeight="1" x14ac:dyDescent="0.4">
      <c r="A570" s="166"/>
      <c r="B570" s="166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</row>
    <row r="571" spans="1:28" ht="25.5" customHeight="1" x14ac:dyDescent="0.4">
      <c r="A571" s="166"/>
      <c r="B571" s="166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</row>
    <row r="572" spans="1:28" ht="25.5" customHeight="1" x14ac:dyDescent="0.4">
      <c r="A572" s="166"/>
      <c r="B572" s="166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</row>
    <row r="573" spans="1:28" ht="25.5" customHeight="1" x14ac:dyDescent="0.4">
      <c r="A573" s="166"/>
      <c r="B573" s="166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</row>
    <row r="574" spans="1:28" ht="25.5" customHeight="1" x14ac:dyDescent="0.4">
      <c r="A574" s="166"/>
      <c r="B574" s="166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</row>
    <row r="575" spans="1:28" ht="25.5" customHeight="1" x14ac:dyDescent="0.4">
      <c r="A575" s="166"/>
      <c r="B575" s="166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</row>
    <row r="576" spans="1:28" ht="25.5" customHeight="1" x14ac:dyDescent="0.4">
      <c r="A576" s="166"/>
      <c r="B576" s="166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</row>
    <row r="577" spans="1:28" ht="25.5" customHeight="1" x14ac:dyDescent="0.4">
      <c r="A577" s="166"/>
      <c r="B577" s="166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</row>
    <row r="578" spans="1:28" ht="25.5" customHeight="1" x14ac:dyDescent="0.4">
      <c r="A578" s="166"/>
      <c r="B578" s="166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</row>
    <row r="579" spans="1:28" ht="25.5" customHeight="1" x14ac:dyDescent="0.4">
      <c r="A579" s="166"/>
      <c r="B579" s="166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</row>
    <row r="580" spans="1:28" ht="25.5" customHeight="1" x14ac:dyDescent="0.4">
      <c r="A580" s="166"/>
      <c r="B580" s="166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</row>
    <row r="581" spans="1:28" ht="25.5" customHeight="1" x14ac:dyDescent="0.4">
      <c r="A581" s="166"/>
      <c r="B581" s="166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</row>
    <row r="582" spans="1:28" ht="25.5" customHeight="1" x14ac:dyDescent="0.4">
      <c r="A582" s="166"/>
      <c r="B582" s="166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</row>
    <row r="583" spans="1:28" ht="25.5" customHeight="1" x14ac:dyDescent="0.4">
      <c r="A583" s="166"/>
      <c r="B583" s="166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</row>
    <row r="584" spans="1:28" ht="25.5" customHeight="1" x14ac:dyDescent="0.4">
      <c r="A584" s="166"/>
      <c r="B584" s="166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</row>
    <row r="585" spans="1:28" ht="25.5" customHeight="1" x14ac:dyDescent="0.4">
      <c r="A585" s="166"/>
      <c r="B585" s="166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</row>
    <row r="586" spans="1:28" ht="25.5" customHeight="1" x14ac:dyDescent="0.4">
      <c r="A586" s="166"/>
      <c r="B586" s="166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</row>
    <row r="587" spans="1:28" ht="25.5" customHeight="1" x14ac:dyDescent="0.4">
      <c r="A587" s="166"/>
      <c r="B587" s="166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</row>
    <row r="588" spans="1:28" ht="25.5" customHeight="1" x14ac:dyDescent="0.4">
      <c r="A588" s="166"/>
      <c r="B588" s="166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</row>
    <row r="589" spans="1:28" ht="25.5" customHeight="1" x14ac:dyDescent="0.4">
      <c r="A589" s="166"/>
      <c r="B589" s="166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</row>
    <row r="590" spans="1:28" ht="25.5" customHeight="1" x14ac:dyDescent="0.4">
      <c r="A590" s="166"/>
      <c r="B590" s="166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</row>
    <row r="591" spans="1:28" ht="25.5" customHeight="1" x14ac:dyDescent="0.4">
      <c r="A591" s="166"/>
      <c r="B591" s="166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</row>
    <row r="592" spans="1:28" ht="25.5" customHeight="1" x14ac:dyDescent="0.4">
      <c r="A592" s="166"/>
      <c r="B592" s="166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</row>
    <row r="593" spans="1:28" ht="25.5" customHeight="1" x14ac:dyDescent="0.4">
      <c r="A593" s="166"/>
      <c r="B593" s="166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</row>
    <row r="594" spans="1:28" ht="25.5" customHeight="1" x14ac:dyDescent="0.4">
      <c r="A594" s="166"/>
      <c r="B594" s="166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</row>
    <row r="595" spans="1:28" ht="25.5" customHeight="1" x14ac:dyDescent="0.4">
      <c r="A595" s="166"/>
      <c r="B595" s="166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</row>
    <row r="596" spans="1:28" ht="25.5" customHeight="1" x14ac:dyDescent="0.4">
      <c r="A596" s="166"/>
      <c r="B596" s="166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</row>
    <row r="597" spans="1:28" ht="25.5" customHeight="1" x14ac:dyDescent="0.4">
      <c r="A597" s="166"/>
      <c r="B597" s="166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</row>
    <row r="598" spans="1:28" ht="25.5" customHeight="1" x14ac:dyDescent="0.4">
      <c r="A598" s="166"/>
      <c r="B598" s="166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</row>
    <row r="599" spans="1:28" ht="25.5" customHeight="1" x14ac:dyDescent="0.4">
      <c r="A599" s="166"/>
      <c r="B599" s="166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</row>
    <row r="600" spans="1:28" ht="25.5" customHeight="1" x14ac:dyDescent="0.4">
      <c r="A600" s="166"/>
      <c r="B600" s="166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</row>
    <row r="601" spans="1:28" ht="25.5" customHeight="1" x14ac:dyDescent="0.4">
      <c r="A601" s="166"/>
      <c r="B601" s="166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</row>
    <row r="602" spans="1:28" ht="25.5" customHeight="1" x14ac:dyDescent="0.4">
      <c r="A602" s="166"/>
      <c r="B602" s="166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</row>
    <row r="603" spans="1:28" ht="25.5" customHeight="1" x14ac:dyDescent="0.4">
      <c r="A603" s="166"/>
      <c r="B603" s="166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</row>
    <row r="604" spans="1:28" ht="25.5" customHeight="1" x14ac:dyDescent="0.4">
      <c r="A604" s="166"/>
      <c r="B604" s="166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</row>
    <row r="605" spans="1:28" ht="25.5" customHeight="1" x14ac:dyDescent="0.4">
      <c r="A605" s="166"/>
      <c r="B605" s="166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</row>
    <row r="606" spans="1:28" ht="25.5" customHeight="1" x14ac:dyDescent="0.4">
      <c r="A606" s="166"/>
      <c r="B606" s="166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</row>
    <row r="607" spans="1:28" ht="25.5" customHeight="1" x14ac:dyDescent="0.4">
      <c r="A607" s="166"/>
      <c r="B607" s="166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</row>
    <row r="608" spans="1:28" ht="25.5" customHeight="1" x14ac:dyDescent="0.4">
      <c r="A608" s="166"/>
      <c r="B608" s="166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</row>
    <row r="609" spans="1:28" ht="25.5" customHeight="1" x14ac:dyDescent="0.4">
      <c r="A609" s="166"/>
      <c r="B609" s="166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</row>
    <row r="610" spans="1:28" ht="25.5" customHeight="1" x14ac:dyDescent="0.4">
      <c r="A610" s="166"/>
      <c r="B610" s="166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</row>
    <row r="611" spans="1:28" ht="25.5" customHeight="1" x14ac:dyDescent="0.4">
      <c r="A611" s="166"/>
      <c r="B611" s="166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</row>
    <row r="612" spans="1:28" ht="25.5" customHeight="1" x14ac:dyDescent="0.4">
      <c r="A612" s="166"/>
      <c r="B612" s="166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</row>
    <row r="613" spans="1:28" ht="25.5" customHeight="1" x14ac:dyDescent="0.4">
      <c r="A613" s="166"/>
      <c r="B613" s="166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</row>
    <row r="614" spans="1:28" ht="25.5" customHeight="1" x14ac:dyDescent="0.4">
      <c r="A614" s="166"/>
      <c r="B614" s="166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</row>
    <row r="615" spans="1:28" ht="25.5" customHeight="1" x14ac:dyDescent="0.4">
      <c r="A615" s="166"/>
      <c r="B615" s="166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</row>
    <row r="616" spans="1:28" ht="25.5" customHeight="1" x14ac:dyDescent="0.4">
      <c r="A616" s="166"/>
      <c r="B616" s="166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</row>
    <row r="617" spans="1:28" ht="25.5" customHeight="1" x14ac:dyDescent="0.4">
      <c r="A617" s="166"/>
      <c r="B617" s="166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</row>
    <row r="618" spans="1:28" ht="25.5" customHeight="1" x14ac:dyDescent="0.4">
      <c r="A618" s="166"/>
      <c r="B618" s="166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</row>
    <row r="619" spans="1:28" ht="25.5" customHeight="1" x14ac:dyDescent="0.4">
      <c r="A619" s="166"/>
      <c r="B619" s="166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</row>
    <row r="620" spans="1:28" ht="25.5" customHeight="1" x14ac:dyDescent="0.4">
      <c r="A620" s="166"/>
      <c r="B620" s="166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</row>
    <row r="621" spans="1:28" ht="25.5" customHeight="1" x14ac:dyDescent="0.4">
      <c r="A621" s="166"/>
      <c r="B621" s="166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</row>
    <row r="622" spans="1:28" ht="25.5" customHeight="1" x14ac:dyDescent="0.4">
      <c r="A622" s="166"/>
      <c r="B622" s="166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</row>
    <row r="623" spans="1:28" ht="25.5" customHeight="1" x14ac:dyDescent="0.4">
      <c r="A623" s="166"/>
      <c r="B623" s="166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</row>
    <row r="624" spans="1:28" ht="25.5" customHeight="1" x14ac:dyDescent="0.4">
      <c r="A624" s="166"/>
      <c r="B624" s="166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</row>
    <row r="625" spans="1:28" ht="25.5" customHeight="1" x14ac:dyDescent="0.4">
      <c r="A625" s="166"/>
      <c r="B625" s="166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</row>
    <row r="626" spans="1:28" ht="25.5" customHeight="1" x14ac:dyDescent="0.4">
      <c r="A626" s="166"/>
      <c r="B626" s="166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</row>
    <row r="627" spans="1:28" ht="25.5" customHeight="1" x14ac:dyDescent="0.4">
      <c r="A627" s="166"/>
      <c r="B627" s="166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</row>
    <row r="628" spans="1:28" ht="25.5" customHeight="1" x14ac:dyDescent="0.4">
      <c r="A628" s="166"/>
      <c r="B628" s="166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</row>
    <row r="629" spans="1:28" ht="25.5" customHeight="1" x14ac:dyDescent="0.4">
      <c r="A629" s="166"/>
      <c r="B629" s="166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</row>
    <row r="630" spans="1:28" ht="25.5" customHeight="1" x14ac:dyDescent="0.4">
      <c r="A630" s="166"/>
      <c r="B630" s="166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</row>
    <row r="631" spans="1:28" ht="25.5" customHeight="1" x14ac:dyDescent="0.4">
      <c r="A631" s="166"/>
      <c r="B631" s="166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</row>
    <row r="632" spans="1:28" ht="25.5" customHeight="1" x14ac:dyDescent="0.4">
      <c r="A632" s="166"/>
      <c r="B632" s="166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</row>
    <row r="633" spans="1:28" ht="25.5" customHeight="1" x14ac:dyDescent="0.4">
      <c r="A633" s="166"/>
      <c r="B633" s="166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</row>
    <row r="634" spans="1:28" ht="25.5" customHeight="1" x14ac:dyDescent="0.4">
      <c r="A634" s="166"/>
      <c r="B634" s="166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</row>
    <row r="635" spans="1:28" ht="25.5" customHeight="1" x14ac:dyDescent="0.4">
      <c r="A635" s="166"/>
      <c r="B635" s="166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</row>
    <row r="636" spans="1:28" ht="25.5" customHeight="1" x14ac:dyDescent="0.4">
      <c r="A636" s="166"/>
      <c r="B636" s="166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</row>
    <row r="637" spans="1:28" ht="25.5" customHeight="1" x14ac:dyDescent="0.4">
      <c r="A637" s="166"/>
      <c r="B637" s="166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</row>
    <row r="638" spans="1:28" ht="25.5" customHeight="1" x14ac:dyDescent="0.4">
      <c r="A638" s="166"/>
      <c r="B638" s="166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</row>
    <row r="639" spans="1:28" ht="25.5" customHeight="1" x14ac:dyDescent="0.4">
      <c r="A639" s="166"/>
      <c r="B639" s="166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</row>
    <row r="640" spans="1:28" ht="25.5" customHeight="1" x14ac:dyDescent="0.4">
      <c r="A640" s="166"/>
      <c r="B640" s="166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</row>
    <row r="641" spans="1:28" ht="25.5" customHeight="1" x14ac:dyDescent="0.4">
      <c r="A641" s="166"/>
      <c r="B641" s="166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</row>
    <row r="642" spans="1:28" ht="25.5" customHeight="1" x14ac:dyDescent="0.4">
      <c r="A642" s="166"/>
      <c r="B642" s="166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</row>
    <row r="643" spans="1:28" ht="25.5" customHeight="1" x14ac:dyDescent="0.4">
      <c r="A643" s="166"/>
      <c r="B643" s="166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</row>
    <row r="644" spans="1:28" ht="25.5" customHeight="1" x14ac:dyDescent="0.4">
      <c r="A644" s="166"/>
      <c r="B644" s="166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</row>
    <row r="645" spans="1:28" ht="25.5" customHeight="1" x14ac:dyDescent="0.4">
      <c r="A645" s="166"/>
      <c r="B645" s="166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</row>
    <row r="646" spans="1:28" ht="25.5" customHeight="1" x14ac:dyDescent="0.4">
      <c r="A646" s="166"/>
      <c r="B646" s="166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</row>
    <row r="647" spans="1:28" ht="25.5" customHeight="1" x14ac:dyDescent="0.4">
      <c r="A647" s="166"/>
      <c r="B647" s="166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</row>
    <row r="648" spans="1:28" ht="25.5" customHeight="1" x14ac:dyDescent="0.4">
      <c r="A648" s="166"/>
      <c r="B648" s="166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</row>
    <row r="649" spans="1:28" ht="25.5" customHeight="1" x14ac:dyDescent="0.4">
      <c r="A649" s="166"/>
      <c r="B649" s="166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</row>
    <row r="650" spans="1:28" ht="25.5" customHeight="1" x14ac:dyDescent="0.4">
      <c r="A650" s="166"/>
      <c r="B650" s="166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</row>
    <row r="651" spans="1:28" ht="25.5" customHeight="1" x14ac:dyDescent="0.4">
      <c r="A651" s="166"/>
      <c r="B651" s="166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</row>
    <row r="652" spans="1:28" ht="25.5" customHeight="1" x14ac:dyDescent="0.4">
      <c r="A652" s="166"/>
      <c r="B652" s="166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</row>
    <row r="653" spans="1:28" ht="25.5" customHeight="1" x14ac:dyDescent="0.4">
      <c r="A653" s="166"/>
      <c r="B653" s="166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</row>
    <row r="654" spans="1:28" ht="25.5" customHeight="1" x14ac:dyDescent="0.4">
      <c r="A654" s="166"/>
      <c r="B654" s="166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</row>
    <row r="655" spans="1:28" ht="25.5" customHeight="1" x14ac:dyDescent="0.4">
      <c r="A655" s="166"/>
      <c r="B655" s="166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</row>
    <row r="656" spans="1:28" ht="25.5" customHeight="1" x14ac:dyDescent="0.4">
      <c r="A656" s="166"/>
      <c r="B656" s="166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</row>
    <row r="657" spans="1:28" ht="25.5" customHeight="1" x14ac:dyDescent="0.4">
      <c r="A657" s="166"/>
      <c r="B657" s="166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</row>
    <row r="658" spans="1:28" ht="25.5" customHeight="1" x14ac:dyDescent="0.4">
      <c r="A658" s="166"/>
      <c r="B658" s="166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</row>
    <row r="659" spans="1:28" ht="25.5" customHeight="1" x14ac:dyDescent="0.4">
      <c r="A659" s="166"/>
      <c r="B659" s="166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</row>
    <row r="660" spans="1:28" ht="25.5" customHeight="1" x14ac:dyDescent="0.4">
      <c r="A660" s="166"/>
      <c r="B660" s="166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</row>
    <row r="661" spans="1:28" ht="25.5" customHeight="1" x14ac:dyDescent="0.4">
      <c r="A661" s="166"/>
      <c r="B661" s="166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</row>
    <row r="662" spans="1:28" ht="25.5" customHeight="1" x14ac:dyDescent="0.4">
      <c r="A662" s="166"/>
      <c r="B662" s="166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</row>
    <row r="663" spans="1:28" ht="25.5" customHeight="1" x14ac:dyDescent="0.4">
      <c r="A663" s="166"/>
      <c r="B663" s="166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</row>
    <row r="664" spans="1:28" ht="25.5" customHeight="1" x14ac:dyDescent="0.4">
      <c r="A664" s="166"/>
      <c r="B664" s="166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</row>
    <row r="665" spans="1:28" ht="25.5" customHeight="1" x14ac:dyDescent="0.4">
      <c r="A665" s="166"/>
      <c r="B665" s="166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</row>
    <row r="666" spans="1:28" ht="25.5" customHeight="1" x14ac:dyDescent="0.4">
      <c r="A666" s="166"/>
      <c r="B666" s="166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</row>
    <row r="667" spans="1:28" ht="25.5" customHeight="1" x14ac:dyDescent="0.4">
      <c r="A667" s="166"/>
      <c r="B667" s="166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</row>
    <row r="668" spans="1:28" ht="25.5" customHeight="1" x14ac:dyDescent="0.4">
      <c r="A668" s="166"/>
      <c r="B668" s="166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</row>
    <row r="669" spans="1:28" ht="25.5" customHeight="1" x14ac:dyDescent="0.4">
      <c r="A669" s="166"/>
      <c r="B669" s="166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</row>
    <row r="670" spans="1:28" ht="25.5" customHeight="1" x14ac:dyDescent="0.4">
      <c r="A670" s="166"/>
      <c r="B670" s="166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</row>
    <row r="671" spans="1:28" ht="25.5" customHeight="1" x14ac:dyDescent="0.4">
      <c r="A671" s="166"/>
      <c r="B671" s="166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</row>
    <row r="672" spans="1:28" ht="25.5" customHeight="1" x14ac:dyDescent="0.4">
      <c r="A672" s="166"/>
      <c r="B672" s="166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</row>
    <row r="673" spans="1:28" ht="25.5" customHeight="1" x14ac:dyDescent="0.4">
      <c r="A673" s="166"/>
      <c r="B673" s="166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</row>
    <row r="674" spans="1:28" ht="25.5" customHeight="1" x14ac:dyDescent="0.4">
      <c r="A674" s="166"/>
      <c r="B674" s="166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</row>
    <row r="675" spans="1:28" ht="25.5" customHeight="1" x14ac:dyDescent="0.4">
      <c r="A675" s="166"/>
      <c r="B675" s="166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</row>
    <row r="676" spans="1:28" ht="25.5" customHeight="1" x14ac:dyDescent="0.4">
      <c r="A676" s="166"/>
      <c r="B676" s="166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</row>
    <row r="677" spans="1:28" ht="25.5" customHeight="1" x14ac:dyDescent="0.4">
      <c r="A677" s="166"/>
      <c r="B677" s="166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</row>
    <row r="678" spans="1:28" ht="25.5" customHeight="1" x14ac:dyDescent="0.4">
      <c r="A678" s="166"/>
      <c r="B678" s="166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</row>
    <row r="679" spans="1:28" ht="25.5" customHeight="1" x14ac:dyDescent="0.4">
      <c r="A679" s="166"/>
      <c r="B679" s="166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</row>
    <row r="680" spans="1:28" ht="25.5" customHeight="1" x14ac:dyDescent="0.4">
      <c r="A680" s="166"/>
      <c r="B680" s="166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</row>
    <row r="681" spans="1:28" ht="25.5" customHeight="1" x14ac:dyDescent="0.4">
      <c r="A681" s="166"/>
      <c r="B681" s="166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</row>
    <row r="682" spans="1:28" ht="25.5" customHeight="1" x14ac:dyDescent="0.4">
      <c r="A682" s="166"/>
      <c r="B682" s="166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</row>
    <row r="683" spans="1:28" ht="25.5" customHeight="1" x14ac:dyDescent="0.4">
      <c r="A683" s="166"/>
      <c r="B683" s="166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</row>
    <row r="684" spans="1:28" ht="25.5" customHeight="1" x14ac:dyDescent="0.4">
      <c r="A684" s="166"/>
      <c r="B684" s="166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</row>
    <row r="685" spans="1:28" ht="25.5" customHeight="1" x14ac:dyDescent="0.4">
      <c r="A685" s="166"/>
      <c r="B685" s="166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</row>
    <row r="686" spans="1:28" ht="25.5" customHeight="1" x14ac:dyDescent="0.4">
      <c r="A686" s="166"/>
      <c r="B686" s="166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</row>
    <row r="687" spans="1:28" ht="25.5" customHeight="1" x14ac:dyDescent="0.4">
      <c r="A687" s="166"/>
      <c r="B687" s="166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</row>
    <row r="688" spans="1:28" ht="25.5" customHeight="1" x14ac:dyDescent="0.4">
      <c r="A688" s="166"/>
      <c r="B688" s="166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</row>
    <row r="689" spans="1:28" ht="25.5" customHeight="1" x14ac:dyDescent="0.4">
      <c r="A689" s="166"/>
      <c r="B689" s="166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</row>
    <row r="690" spans="1:28" ht="25.5" customHeight="1" x14ac:dyDescent="0.4">
      <c r="A690" s="166"/>
      <c r="B690" s="166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</row>
    <row r="691" spans="1:28" ht="25.5" customHeight="1" x14ac:dyDescent="0.4">
      <c r="A691" s="166"/>
      <c r="B691" s="166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</row>
    <row r="692" spans="1:28" ht="25.5" customHeight="1" x14ac:dyDescent="0.4">
      <c r="A692" s="166"/>
      <c r="B692" s="166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</row>
    <row r="693" spans="1:28" ht="25.5" customHeight="1" x14ac:dyDescent="0.4">
      <c r="A693" s="166"/>
      <c r="B693" s="166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</row>
    <row r="694" spans="1:28" ht="25.5" customHeight="1" x14ac:dyDescent="0.4">
      <c r="A694" s="166"/>
      <c r="B694" s="166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</row>
    <row r="695" spans="1:28" ht="25.5" customHeight="1" x14ac:dyDescent="0.4">
      <c r="A695" s="166"/>
      <c r="B695" s="166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</row>
    <row r="696" spans="1:28" ht="25.5" customHeight="1" x14ac:dyDescent="0.4">
      <c r="A696" s="166"/>
      <c r="B696" s="166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</row>
    <row r="697" spans="1:28" ht="25.5" customHeight="1" x14ac:dyDescent="0.4">
      <c r="A697" s="166"/>
      <c r="B697" s="166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</row>
    <row r="698" spans="1:28" ht="25.5" customHeight="1" x14ac:dyDescent="0.4">
      <c r="A698" s="166"/>
      <c r="B698" s="166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</row>
    <row r="699" spans="1:28" ht="25.5" customHeight="1" x14ac:dyDescent="0.4">
      <c r="A699" s="166"/>
      <c r="B699" s="166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</row>
    <row r="700" spans="1:28" ht="25.5" customHeight="1" x14ac:dyDescent="0.4">
      <c r="A700" s="166"/>
      <c r="B700" s="166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</row>
    <row r="701" spans="1:28" ht="25.5" customHeight="1" x14ac:dyDescent="0.4">
      <c r="A701" s="166"/>
      <c r="B701" s="166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</row>
    <row r="702" spans="1:28" ht="25.5" customHeight="1" x14ac:dyDescent="0.4">
      <c r="A702" s="166"/>
      <c r="B702" s="166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</row>
    <row r="703" spans="1:28" ht="25.5" customHeight="1" x14ac:dyDescent="0.4">
      <c r="A703" s="166"/>
      <c r="B703" s="166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</row>
    <row r="704" spans="1:28" ht="25.5" customHeight="1" x14ac:dyDescent="0.4">
      <c r="A704" s="166"/>
      <c r="B704" s="166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</row>
    <row r="705" spans="1:28" ht="25.5" customHeight="1" x14ac:dyDescent="0.4">
      <c r="A705" s="166"/>
      <c r="B705" s="166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</row>
    <row r="706" spans="1:28" ht="25.5" customHeight="1" x14ac:dyDescent="0.4">
      <c r="A706" s="166"/>
      <c r="B706" s="166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</row>
    <row r="707" spans="1:28" ht="25.5" customHeight="1" x14ac:dyDescent="0.4">
      <c r="A707" s="166"/>
      <c r="B707" s="166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</row>
    <row r="708" spans="1:28" ht="25.5" customHeight="1" x14ac:dyDescent="0.4">
      <c r="A708" s="166"/>
      <c r="B708" s="166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</row>
    <row r="709" spans="1:28" ht="25.5" customHeight="1" x14ac:dyDescent="0.4">
      <c r="A709" s="166"/>
      <c r="B709" s="166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</row>
    <row r="710" spans="1:28" ht="25.5" customHeight="1" x14ac:dyDescent="0.4">
      <c r="A710" s="166"/>
      <c r="B710" s="166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</row>
    <row r="711" spans="1:28" ht="25.5" customHeight="1" x14ac:dyDescent="0.4">
      <c r="A711" s="166"/>
      <c r="B711" s="166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</row>
    <row r="712" spans="1:28" ht="25.5" customHeight="1" x14ac:dyDescent="0.4">
      <c r="A712" s="166"/>
      <c r="B712" s="166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</row>
    <row r="713" spans="1:28" ht="25.5" customHeight="1" x14ac:dyDescent="0.4">
      <c r="A713" s="166"/>
      <c r="B713" s="166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</row>
    <row r="714" spans="1:28" ht="25.5" customHeight="1" x14ac:dyDescent="0.4">
      <c r="A714" s="166"/>
      <c r="B714" s="166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</row>
    <row r="715" spans="1:28" ht="25.5" customHeight="1" x14ac:dyDescent="0.4">
      <c r="A715" s="166"/>
      <c r="B715" s="166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</row>
    <row r="716" spans="1:28" ht="25.5" customHeight="1" x14ac:dyDescent="0.4">
      <c r="A716" s="166"/>
      <c r="B716" s="166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</row>
    <row r="717" spans="1:28" ht="25.5" customHeight="1" x14ac:dyDescent="0.4">
      <c r="A717" s="166"/>
      <c r="B717" s="166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</row>
    <row r="718" spans="1:28" ht="25.5" customHeight="1" x14ac:dyDescent="0.4">
      <c r="A718" s="166"/>
      <c r="B718" s="166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</row>
    <row r="719" spans="1:28" ht="25.5" customHeight="1" x14ac:dyDescent="0.4">
      <c r="A719" s="166"/>
      <c r="B719" s="166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</row>
    <row r="720" spans="1:28" ht="25.5" customHeight="1" x14ac:dyDescent="0.4">
      <c r="A720" s="166"/>
      <c r="B720" s="166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</row>
    <row r="721" spans="1:28" ht="25.5" customHeight="1" x14ac:dyDescent="0.4">
      <c r="A721" s="166"/>
      <c r="B721" s="166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</row>
    <row r="722" spans="1:28" ht="25.5" customHeight="1" x14ac:dyDescent="0.4">
      <c r="A722" s="166"/>
      <c r="B722" s="166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</row>
    <row r="723" spans="1:28" ht="25.5" customHeight="1" x14ac:dyDescent="0.4">
      <c r="A723" s="166"/>
      <c r="B723" s="166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</row>
    <row r="724" spans="1:28" ht="25.5" customHeight="1" x14ac:dyDescent="0.4">
      <c r="A724" s="166"/>
      <c r="B724" s="166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</row>
    <row r="725" spans="1:28" ht="25.5" customHeight="1" x14ac:dyDescent="0.4">
      <c r="A725" s="166"/>
      <c r="B725" s="166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</row>
    <row r="726" spans="1:28" ht="25.5" customHeight="1" x14ac:dyDescent="0.4">
      <c r="A726" s="166"/>
      <c r="B726" s="166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</row>
    <row r="727" spans="1:28" ht="25.5" customHeight="1" x14ac:dyDescent="0.4">
      <c r="A727" s="166"/>
      <c r="B727" s="166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</row>
    <row r="728" spans="1:28" ht="25.5" customHeight="1" x14ac:dyDescent="0.4">
      <c r="A728" s="166"/>
      <c r="B728" s="166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</row>
    <row r="729" spans="1:28" ht="25.5" customHeight="1" x14ac:dyDescent="0.4">
      <c r="A729" s="166"/>
      <c r="B729" s="166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</row>
    <row r="730" spans="1:28" ht="25.5" customHeight="1" x14ac:dyDescent="0.4">
      <c r="A730" s="166"/>
      <c r="B730" s="166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</row>
    <row r="731" spans="1:28" ht="25.5" customHeight="1" x14ac:dyDescent="0.4">
      <c r="A731" s="166"/>
      <c r="B731" s="166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</row>
    <row r="732" spans="1:28" ht="25.5" customHeight="1" x14ac:dyDescent="0.4">
      <c r="A732" s="166"/>
      <c r="B732" s="166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</row>
    <row r="733" spans="1:28" ht="25.5" customHeight="1" x14ac:dyDescent="0.4">
      <c r="A733" s="166"/>
      <c r="B733" s="166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</row>
    <row r="734" spans="1:28" ht="25.5" customHeight="1" x14ac:dyDescent="0.4">
      <c r="A734" s="166"/>
      <c r="B734" s="166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</row>
    <row r="735" spans="1:28" ht="25.5" customHeight="1" x14ac:dyDescent="0.4">
      <c r="A735" s="166"/>
      <c r="B735" s="166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</row>
    <row r="736" spans="1:28" ht="25.5" customHeight="1" x14ac:dyDescent="0.4">
      <c r="A736" s="166"/>
      <c r="B736" s="166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</row>
    <row r="737" spans="1:28" ht="25.5" customHeight="1" x14ac:dyDescent="0.4">
      <c r="A737" s="166"/>
      <c r="B737" s="166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</row>
    <row r="738" spans="1:28" ht="25.5" customHeight="1" x14ac:dyDescent="0.4">
      <c r="A738" s="166"/>
      <c r="B738" s="166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</row>
    <row r="739" spans="1:28" ht="25.5" customHeight="1" x14ac:dyDescent="0.4">
      <c r="A739" s="166"/>
      <c r="B739" s="166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</row>
    <row r="740" spans="1:28" ht="25.5" customHeight="1" x14ac:dyDescent="0.4">
      <c r="A740" s="166"/>
      <c r="B740" s="166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</row>
    <row r="741" spans="1:28" ht="25.5" customHeight="1" x14ac:dyDescent="0.4">
      <c r="A741" s="166"/>
      <c r="B741" s="166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</row>
    <row r="742" spans="1:28" ht="25.5" customHeight="1" x14ac:dyDescent="0.4">
      <c r="A742" s="166"/>
      <c r="B742" s="166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</row>
    <row r="743" spans="1:28" ht="25.5" customHeight="1" x14ac:dyDescent="0.4">
      <c r="A743" s="166"/>
      <c r="B743" s="166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</row>
    <row r="744" spans="1:28" ht="25.5" customHeight="1" x14ac:dyDescent="0.4">
      <c r="A744" s="166"/>
      <c r="B744" s="166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</row>
    <row r="745" spans="1:28" ht="25.5" customHeight="1" x14ac:dyDescent="0.4">
      <c r="A745" s="166"/>
      <c r="B745" s="166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</row>
    <row r="746" spans="1:28" ht="25.5" customHeight="1" x14ac:dyDescent="0.4">
      <c r="A746" s="166"/>
      <c r="B746" s="166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</row>
    <row r="747" spans="1:28" ht="25.5" customHeight="1" x14ac:dyDescent="0.4">
      <c r="A747" s="166"/>
      <c r="B747" s="166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</row>
    <row r="748" spans="1:28" ht="25.5" customHeight="1" x14ac:dyDescent="0.4">
      <c r="A748" s="166"/>
      <c r="B748" s="166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</row>
    <row r="749" spans="1:28" ht="25.5" customHeight="1" x14ac:dyDescent="0.4">
      <c r="A749" s="166"/>
      <c r="B749" s="166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</row>
    <row r="750" spans="1:28" ht="25.5" customHeight="1" x14ac:dyDescent="0.4">
      <c r="A750" s="166"/>
      <c r="B750" s="166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</row>
    <row r="751" spans="1:28" ht="25.5" customHeight="1" x14ac:dyDescent="0.4">
      <c r="A751" s="166"/>
      <c r="B751" s="166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</row>
    <row r="752" spans="1:28" ht="25.5" customHeight="1" x14ac:dyDescent="0.4">
      <c r="A752" s="166"/>
      <c r="B752" s="166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</row>
    <row r="753" spans="1:28" ht="25.5" customHeight="1" x14ac:dyDescent="0.4">
      <c r="A753" s="166"/>
      <c r="B753" s="166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</row>
    <row r="754" spans="1:28" ht="25.5" customHeight="1" x14ac:dyDescent="0.4">
      <c r="A754" s="166"/>
      <c r="B754" s="166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</row>
    <row r="755" spans="1:28" ht="25.5" customHeight="1" x14ac:dyDescent="0.4">
      <c r="A755" s="166"/>
      <c r="B755" s="166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</row>
    <row r="756" spans="1:28" ht="25.5" customHeight="1" x14ac:dyDescent="0.4">
      <c r="A756" s="166"/>
      <c r="B756" s="166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</row>
    <row r="757" spans="1:28" ht="25.5" customHeight="1" x14ac:dyDescent="0.4">
      <c r="A757" s="166"/>
      <c r="B757" s="166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</row>
    <row r="758" spans="1:28" ht="25.5" customHeight="1" x14ac:dyDescent="0.4">
      <c r="A758" s="166"/>
      <c r="B758" s="166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</row>
    <row r="759" spans="1:28" ht="25.5" customHeight="1" x14ac:dyDescent="0.4">
      <c r="A759" s="166"/>
      <c r="B759" s="166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</row>
    <row r="760" spans="1:28" ht="25.5" customHeight="1" x14ac:dyDescent="0.4">
      <c r="A760" s="166"/>
      <c r="B760" s="166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</row>
    <row r="761" spans="1:28" ht="25.5" customHeight="1" x14ac:dyDescent="0.4">
      <c r="A761" s="166"/>
      <c r="B761" s="166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</row>
    <row r="762" spans="1:28" ht="25.5" customHeight="1" x14ac:dyDescent="0.4">
      <c r="A762" s="166"/>
      <c r="B762" s="166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</row>
    <row r="763" spans="1:28" ht="25.5" customHeight="1" x14ac:dyDescent="0.4">
      <c r="A763" s="166"/>
      <c r="B763" s="166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</row>
    <row r="764" spans="1:28" ht="25.5" customHeight="1" x14ac:dyDescent="0.4">
      <c r="A764" s="166"/>
      <c r="B764" s="166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</row>
    <row r="765" spans="1:28" ht="25.5" customHeight="1" x14ac:dyDescent="0.4">
      <c r="A765" s="166"/>
      <c r="B765" s="166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</row>
    <row r="766" spans="1:28" ht="25.5" customHeight="1" x14ac:dyDescent="0.4">
      <c r="A766" s="166"/>
      <c r="B766" s="166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</row>
    <row r="767" spans="1:28" ht="25.5" customHeight="1" x14ac:dyDescent="0.4">
      <c r="A767" s="166"/>
      <c r="B767" s="166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</row>
    <row r="768" spans="1:28" ht="25.5" customHeight="1" x14ac:dyDescent="0.4">
      <c r="A768" s="166"/>
      <c r="B768" s="166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</row>
    <row r="769" spans="1:28" ht="25.5" customHeight="1" x14ac:dyDescent="0.4">
      <c r="A769" s="166"/>
      <c r="B769" s="166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</row>
    <row r="770" spans="1:28" ht="25.5" customHeight="1" x14ac:dyDescent="0.4">
      <c r="A770" s="166"/>
      <c r="B770" s="166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</row>
    <row r="771" spans="1:28" ht="25.5" customHeight="1" x14ac:dyDescent="0.4">
      <c r="A771" s="166"/>
      <c r="B771" s="166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</row>
    <row r="772" spans="1:28" ht="25.5" customHeight="1" x14ac:dyDescent="0.4">
      <c r="A772" s="166"/>
      <c r="B772" s="166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</row>
    <row r="773" spans="1:28" ht="25.5" customHeight="1" x14ac:dyDescent="0.4">
      <c r="A773" s="166"/>
      <c r="B773" s="166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</row>
    <row r="774" spans="1:28" ht="25.5" customHeight="1" x14ac:dyDescent="0.4">
      <c r="A774" s="166"/>
      <c r="B774" s="166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</row>
    <row r="775" spans="1:28" ht="25.5" customHeight="1" x14ac:dyDescent="0.4">
      <c r="A775" s="166"/>
      <c r="B775" s="166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</row>
    <row r="776" spans="1:28" ht="25.5" customHeight="1" x14ac:dyDescent="0.4">
      <c r="A776" s="166"/>
      <c r="B776" s="166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</row>
    <row r="777" spans="1:28" ht="25.5" customHeight="1" x14ac:dyDescent="0.4">
      <c r="A777" s="166"/>
      <c r="B777" s="166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</row>
    <row r="778" spans="1:28" ht="25.5" customHeight="1" x14ac:dyDescent="0.4">
      <c r="A778" s="166"/>
      <c r="B778" s="166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</row>
    <row r="779" spans="1:28" ht="25.5" customHeight="1" x14ac:dyDescent="0.4">
      <c r="A779" s="166"/>
      <c r="B779" s="166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</row>
    <row r="780" spans="1:28" ht="25.5" customHeight="1" x14ac:dyDescent="0.4">
      <c r="A780" s="166"/>
      <c r="B780" s="166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</row>
    <row r="781" spans="1:28" ht="25.5" customHeight="1" x14ac:dyDescent="0.4">
      <c r="A781" s="166"/>
      <c r="B781" s="166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</row>
    <row r="782" spans="1:28" ht="25.5" customHeight="1" x14ac:dyDescent="0.4">
      <c r="A782" s="166"/>
      <c r="B782" s="166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</row>
    <row r="783" spans="1:28" ht="25.5" customHeight="1" x14ac:dyDescent="0.4">
      <c r="A783" s="166"/>
      <c r="B783" s="166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</row>
    <row r="784" spans="1:28" ht="25.5" customHeight="1" x14ac:dyDescent="0.4">
      <c r="A784" s="166"/>
      <c r="B784" s="166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</row>
    <row r="785" spans="1:28" ht="25.5" customHeight="1" x14ac:dyDescent="0.4">
      <c r="A785" s="166"/>
      <c r="B785" s="166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</row>
    <row r="786" spans="1:28" ht="25.5" customHeight="1" x14ac:dyDescent="0.4">
      <c r="A786" s="166"/>
      <c r="B786" s="166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</row>
    <row r="787" spans="1:28" ht="25.5" customHeight="1" x14ac:dyDescent="0.4">
      <c r="A787" s="166"/>
      <c r="B787" s="166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</row>
    <row r="788" spans="1:28" ht="25.5" customHeight="1" x14ac:dyDescent="0.4">
      <c r="A788" s="166"/>
      <c r="B788" s="166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</row>
    <row r="789" spans="1:28" ht="25.5" customHeight="1" x14ac:dyDescent="0.4">
      <c r="A789" s="166"/>
      <c r="B789" s="166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</row>
    <row r="790" spans="1:28" ht="25.5" customHeight="1" x14ac:dyDescent="0.4">
      <c r="A790" s="166"/>
      <c r="B790" s="166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</row>
    <row r="791" spans="1:28" ht="25.5" customHeight="1" x14ac:dyDescent="0.4">
      <c r="A791" s="166"/>
      <c r="B791" s="166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</row>
    <row r="792" spans="1:28" ht="25.5" customHeight="1" x14ac:dyDescent="0.4">
      <c r="A792" s="166"/>
      <c r="B792" s="166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</row>
    <row r="793" spans="1:28" ht="25.5" customHeight="1" x14ac:dyDescent="0.4">
      <c r="A793" s="166"/>
      <c r="B793" s="166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</row>
    <row r="794" spans="1:28" ht="25.5" customHeight="1" x14ac:dyDescent="0.4">
      <c r="A794" s="166"/>
      <c r="B794" s="166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</row>
    <row r="795" spans="1:28" ht="25.5" customHeight="1" x14ac:dyDescent="0.4">
      <c r="A795" s="166"/>
      <c r="B795" s="166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</row>
    <row r="796" spans="1:28" ht="25.5" customHeight="1" x14ac:dyDescent="0.4">
      <c r="A796" s="166"/>
      <c r="B796" s="166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</row>
    <row r="797" spans="1:28" ht="25.5" customHeight="1" x14ac:dyDescent="0.4">
      <c r="A797" s="166"/>
      <c r="B797" s="166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</row>
    <row r="798" spans="1:28" ht="25.5" customHeight="1" x14ac:dyDescent="0.4">
      <c r="A798" s="166"/>
      <c r="B798" s="166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</row>
    <row r="799" spans="1:28" ht="25.5" customHeight="1" x14ac:dyDescent="0.4">
      <c r="A799" s="166"/>
      <c r="B799" s="166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</row>
    <row r="800" spans="1:28" ht="25.5" customHeight="1" x14ac:dyDescent="0.4">
      <c r="A800" s="166"/>
      <c r="B800" s="166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</row>
    <row r="801" spans="1:28" ht="25.5" customHeight="1" x14ac:dyDescent="0.4">
      <c r="A801" s="166"/>
      <c r="B801" s="166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</row>
    <row r="802" spans="1:28" ht="25.5" customHeight="1" x14ac:dyDescent="0.4">
      <c r="A802" s="166"/>
      <c r="B802" s="166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</row>
    <row r="803" spans="1:28" ht="25.5" customHeight="1" x14ac:dyDescent="0.4">
      <c r="A803" s="166"/>
      <c r="B803" s="166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</row>
    <row r="804" spans="1:28" ht="25.5" customHeight="1" x14ac:dyDescent="0.4">
      <c r="A804" s="166"/>
      <c r="B804" s="166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</row>
    <row r="805" spans="1:28" ht="25.5" customHeight="1" x14ac:dyDescent="0.4">
      <c r="A805" s="166"/>
      <c r="B805" s="166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</row>
    <row r="806" spans="1:28" ht="25.5" customHeight="1" x14ac:dyDescent="0.4">
      <c r="A806" s="166"/>
      <c r="B806" s="166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</row>
    <row r="807" spans="1:28" ht="25.5" customHeight="1" x14ac:dyDescent="0.4">
      <c r="A807" s="166"/>
      <c r="B807" s="166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</row>
    <row r="808" spans="1:28" ht="25.5" customHeight="1" x14ac:dyDescent="0.4">
      <c r="A808" s="166"/>
      <c r="B808" s="166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</row>
    <row r="809" spans="1:28" ht="25.5" customHeight="1" x14ac:dyDescent="0.4">
      <c r="A809" s="166"/>
      <c r="B809" s="166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</row>
    <row r="810" spans="1:28" ht="25.5" customHeight="1" x14ac:dyDescent="0.4">
      <c r="A810" s="166"/>
      <c r="B810" s="166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</row>
    <row r="811" spans="1:28" ht="25.5" customHeight="1" x14ac:dyDescent="0.4">
      <c r="A811" s="166"/>
      <c r="B811" s="166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</row>
    <row r="812" spans="1:28" ht="25.5" customHeight="1" x14ac:dyDescent="0.4">
      <c r="A812" s="166"/>
      <c r="B812" s="166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</row>
    <row r="813" spans="1:28" ht="25.5" customHeight="1" x14ac:dyDescent="0.4">
      <c r="A813" s="166"/>
      <c r="B813" s="166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</row>
    <row r="814" spans="1:28" ht="25.5" customHeight="1" x14ac:dyDescent="0.4">
      <c r="A814" s="166"/>
      <c r="B814" s="166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</row>
    <row r="815" spans="1:28" ht="25.5" customHeight="1" x14ac:dyDescent="0.4">
      <c r="A815" s="166"/>
      <c r="B815" s="166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</row>
    <row r="816" spans="1:28" ht="25.5" customHeight="1" x14ac:dyDescent="0.4">
      <c r="A816" s="166"/>
      <c r="B816" s="166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</row>
    <row r="817" spans="1:28" ht="25.5" customHeight="1" x14ac:dyDescent="0.4">
      <c r="A817" s="166"/>
      <c r="B817" s="166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</row>
    <row r="818" spans="1:28" ht="25.5" customHeight="1" x14ac:dyDescent="0.4">
      <c r="A818" s="166"/>
      <c r="B818" s="166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</row>
    <row r="819" spans="1:28" ht="25.5" customHeight="1" x14ac:dyDescent="0.4">
      <c r="A819" s="166"/>
      <c r="B819" s="166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</row>
    <row r="820" spans="1:28" ht="25.5" customHeight="1" x14ac:dyDescent="0.4">
      <c r="A820" s="166"/>
      <c r="B820" s="166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</row>
    <row r="821" spans="1:28" ht="25.5" customHeight="1" x14ac:dyDescent="0.4">
      <c r="A821" s="166"/>
      <c r="B821" s="166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</row>
    <row r="822" spans="1:28" ht="25.5" customHeight="1" x14ac:dyDescent="0.4">
      <c r="A822" s="166"/>
      <c r="B822" s="166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</row>
    <row r="823" spans="1:28" ht="25.5" customHeight="1" x14ac:dyDescent="0.4">
      <c r="A823" s="166"/>
      <c r="B823" s="166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</row>
    <row r="824" spans="1:28" ht="25.5" customHeight="1" x14ac:dyDescent="0.4">
      <c r="A824" s="166"/>
      <c r="B824" s="166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</row>
    <row r="825" spans="1:28" ht="25.5" customHeight="1" x14ac:dyDescent="0.4">
      <c r="A825" s="166"/>
      <c r="B825" s="166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</row>
    <row r="826" spans="1:28" ht="25.5" customHeight="1" x14ac:dyDescent="0.4">
      <c r="A826" s="166"/>
      <c r="B826" s="166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</row>
    <row r="827" spans="1:28" ht="25.5" customHeight="1" x14ac:dyDescent="0.4">
      <c r="A827" s="166"/>
      <c r="B827" s="166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</row>
    <row r="828" spans="1:28" ht="25.5" customHeight="1" x14ac:dyDescent="0.4">
      <c r="A828" s="166"/>
      <c r="B828" s="166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</row>
    <row r="829" spans="1:28" ht="25.5" customHeight="1" x14ac:dyDescent="0.4">
      <c r="A829" s="166"/>
      <c r="B829" s="166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</row>
    <row r="830" spans="1:28" ht="25.5" customHeight="1" x14ac:dyDescent="0.4">
      <c r="A830" s="166"/>
      <c r="B830" s="166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</row>
    <row r="831" spans="1:28" ht="25.5" customHeight="1" x14ac:dyDescent="0.4">
      <c r="A831" s="166"/>
      <c r="B831" s="166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</row>
    <row r="832" spans="1:28" ht="25.5" customHeight="1" x14ac:dyDescent="0.4">
      <c r="A832" s="166"/>
      <c r="B832" s="166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</row>
    <row r="833" spans="1:28" ht="25.5" customHeight="1" x14ac:dyDescent="0.4">
      <c r="A833" s="166"/>
      <c r="B833" s="166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</row>
    <row r="834" spans="1:28" ht="25.5" customHeight="1" x14ac:dyDescent="0.4">
      <c r="A834" s="166"/>
      <c r="B834" s="166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</row>
    <row r="835" spans="1:28" ht="25.5" customHeight="1" x14ac:dyDescent="0.4">
      <c r="A835" s="166"/>
      <c r="B835" s="166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</row>
    <row r="836" spans="1:28" ht="25.5" customHeight="1" x14ac:dyDescent="0.4">
      <c r="A836" s="166"/>
      <c r="B836" s="166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</row>
    <row r="837" spans="1:28" ht="25.5" customHeight="1" x14ac:dyDescent="0.4">
      <c r="A837" s="166"/>
      <c r="B837" s="166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</row>
    <row r="838" spans="1:28" ht="25.5" customHeight="1" x14ac:dyDescent="0.4">
      <c r="A838" s="166"/>
      <c r="B838" s="166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</row>
    <row r="839" spans="1:28" ht="25.5" customHeight="1" x14ac:dyDescent="0.4">
      <c r="A839" s="166"/>
      <c r="B839" s="166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</row>
    <row r="840" spans="1:28" ht="25.5" customHeight="1" x14ac:dyDescent="0.4">
      <c r="A840" s="166"/>
      <c r="B840" s="166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</row>
    <row r="841" spans="1:28" ht="25.5" customHeight="1" x14ac:dyDescent="0.4">
      <c r="A841" s="166"/>
      <c r="B841" s="166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</row>
    <row r="842" spans="1:28" ht="25.5" customHeight="1" x14ac:dyDescent="0.4">
      <c r="A842" s="166"/>
      <c r="B842" s="166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</row>
    <row r="843" spans="1:28" ht="25.5" customHeight="1" x14ac:dyDescent="0.4">
      <c r="A843" s="166"/>
      <c r="B843" s="166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</row>
    <row r="844" spans="1:28" ht="25.5" customHeight="1" x14ac:dyDescent="0.4">
      <c r="A844" s="166"/>
      <c r="B844" s="166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</row>
    <row r="845" spans="1:28" ht="25.5" customHeight="1" x14ac:dyDescent="0.4">
      <c r="A845" s="166"/>
      <c r="B845" s="166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</row>
    <row r="846" spans="1:28" ht="25.5" customHeight="1" x14ac:dyDescent="0.4">
      <c r="A846" s="166"/>
      <c r="B846" s="166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</row>
    <row r="847" spans="1:28" ht="25.5" customHeight="1" x14ac:dyDescent="0.4">
      <c r="A847" s="166"/>
      <c r="B847" s="166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</row>
    <row r="848" spans="1:28" ht="25.5" customHeight="1" x14ac:dyDescent="0.4">
      <c r="A848" s="166"/>
      <c r="B848" s="166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</row>
    <row r="849" spans="1:28" ht="25.5" customHeight="1" x14ac:dyDescent="0.4">
      <c r="A849" s="166"/>
      <c r="B849" s="166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</row>
    <row r="850" spans="1:28" ht="25.5" customHeight="1" x14ac:dyDescent="0.4">
      <c r="A850" s="166"/>
      <c r="B850" s="166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</row>
    <row r="851" spans="1:28" ht="25.5" customHeight="1" x14ac:dyDescent="0.4">
      <c r="A851" s="166"/>
      <c r="B851" s="166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</row>
    <row r="852" spans="1:28" ht="25.5" customHeight="1" x14ac:dyDescent="0.4">
      <c r="A852" s="166"/>
      <c r="B852" s="166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</row>
    <row r="853" spans="1:28" ht="25.5" customHeight="1" x14ac:dyDescent="0.4">
      <c r="A853" s="166"/>
      <c r="B853" s="166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</row>
    <row r="854" spans="1:28" ht="25.5" customHeight="1" x14ac:dyDescent="0.4">
      <c r="A854" s="166"/>
      <c r="B854" s="166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</row>
    <row r="855" spans="1:28" ht="25.5" customHeight="1" x14ac:dyDescent="0.4">
      <c r="A855" s="166"/>
      <c r="B855" s="166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</row>
    <row r="856" spans="1:28" ht="25.5" customHeight="1" x14ac:dyDescent="0.4">
      <c r="A856" s="166"/>
      <c r="B856" s="166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</row>
    <row r="857" spans="1:28" ht="25.5" customHeight="1" x14ac:dyDescent="0.4">
      <c r="A857" s="166"/>
      <c r="B857" s="166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</row>
    <row r="858" spans="1:28" ht="25.5" customHeight="1" x14ac:dyDescent="0.4">
      <c r="A858" s="166"/>
      <c r="B858" s="166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</row>
    <row r="859" spans="1:28" ht="25.5" customHeight="1" x14ac:dyDescent="0.4">
      <c r="A859" s="166"/>
      <c r="B859" s="166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</row>
    <row r="860" spans="1:28" ht="25.5" customHeight="1" x14ac:dyDescent="0.4">
      <c r="A860" s="166"/>
      <c r="B860" s="166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</row>
    <row r="861" spans="1:28" ht="25.5" customHeight="1" x14ac:dyDescent="0.4">
      <c r="A861" s="166"/>
      <c r="B861" s="166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</row>
    <row r="862" spans="1:28" ht="25.5" customHeight="1" x14ac:dyDescent="0.4">
      <c r="A862" s="166"/>
      <c r="B862" s="166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</row>
    <row r="863" spans="1:28" ht="25.5" customHeight="1" x14ac:dyDescent="0.4">
      <c r="A863" s="166"/>
      <c r="B863" s="166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</row>
    <row r="864" spans="1:28" ht="25.5" customHeight="1" x14ac:dyDescent="0.4">
      <c r="A864" s="166"/>
      <c r="B864" s="166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</row>
    <row r="865" spans="1:28" ht="25.5" customHeight="1" x14ac:dyDescent="0.4">
      <c r="A865" s="166"/>
      <c r="B865" s="166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</row>
    <row r="866" spans="1:28" ht="25.5" customHeight="1" x14ac:dyDescent="0.4">
      <c r="A866" s="166"/>
      <c r="B866" s="166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</row>
    <row r="867" spans="1:28" ht="25.5" customHeight="1" x14ac:dyDescent="0.4">
      <c r="A867" s="166"/>
      <c r="B867" s="166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</row>
    <row r="868" spans="1:28" ht="25.5" customHeight="1" x14ac:dyDescent="0.4">
      <c r="A868" s="166"/>
      <c r="B868" s="166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</row>
    <row r="869" spans="1:28" ht="25.5" customHeight="1" x14ac:dyDescent="0.4">
      <c r="A869" s="166"/>
      <c r="B869" s="166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</row>
    <row r="870" spans="1:28" ht="25.5" customHeight="1" x14ac:dyDescent="0.4">
      <c r="A870" s="166"/>
      <c r="B870" s="166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</row>
    <row r="871" spans="1:28" ht="25.5" customHeight="1" x14ac:dyDescent="0.4">
      <c r="A871" s="166"/>
      <c r="B871" s="166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</row>
    <row r="872" spans="1:28" ht="25.5" customHeight="1" x14ac:dyDescent="0.4">
      <c r="A872" s="166"/>
      <c r="B872" s="166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</row>
    <row r="873" spans="1:28" ht="25.5" customHeight="1" x14ac:dyDescent="0.4">
      <c r="A873" s="166"/>
      <c r="B873" s="166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</row>
    <row r="874" spans="1:28" ht="25.5" customHeight="1" x14ac:dyDescent="0.4">
      <c r="A874" s="166"/>
      <c r="B874" s="166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</row>
    <row r="875" spans="1:28" ht="25.5" customHeight="1" x14ac:dyDescent="0.4">
      <c r="A875" s="166"/>
      <c r="B875" s="166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</row>
    <row r="876" spans="1:28" ht="25.5" customHeight="1" x14ac:dyDescent="0.4">
      <c r="A876" s="166"/>
      <c r="B876" s="166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</row>
    <row r="877" spans="1:28" ht="25.5" customHeight="1" x14ac:dyDescent="0.4">
      <c r="A877" s="166"/>
      <c r="B877" s="166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</row>
    <row r="878" spans="1:28" ht="25.5" customHeight="1" x14ac:dyDescent="0.4">
      <c r="A878" s="166"/>
      <c r="B878" s="166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</row>
    <row r="879" spans="1:28" ht="25.5" customHeight="1" x14ac:dyDescent="0.4">
      <c r="A879" s="166"/>
      <c r="B879" s="166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</row>
    <row r="880" spans="1:28" ht="25.5" customHeight="1" x14ac:dyDescent="0.4">
      <c r="A880" s="166"/>
      <c r="B880" s="166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</row>
    <row r="881" spans="1:28" ht="25.5" customHeight="1" x14ac:dyDescent="0.4">
      <c r="A881" s="166"/>
      <c r="B881" s="166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</row>
    <row r="882" spans="1:28" ht="25.5" customHeight="1" x14ac:dyDescent="0.4">
      <c r="A882" s="166"/>
      <c r="B882" s="166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</row>
    <row r="883" spans="1:28" ht="25.5" customHeight="1" x14ac:dyDescent="0.4">
      <c r="A883" s="166"/>
      <c r="B883" s="166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</row>
    <row r="884" spans="1:28" ht="25.5" customHeight="1" x14ac:dyDescent="0.4">
      <c r="A884" s="166"/>
      <c r="B884" s="166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</row>
    <row r="885" spans="1:28" ht="25.5" customHeight="1" x14ac:dyDescent="0.4">
      <c r="A885" s="166"/>
      <c r="B885" s="166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</row>
    <row r="886" spans="1:28" ht="25.5" customHeight="1" x14ac:dyDescent="0.4">
      <c r="A886" s="166"/>
      <c r="B886" s="166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</row>
    <row r="887" spans="1:28" ht="25.5" customHeight="1" x14ac:dyDescent="0.4">
      <c r="A887" s="166"/>
      <c r="B887" s="166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</row>
    <row r="888" spans="1:28" ht="25.5" customHeight="1" x14ac:dyDescent="0.4">
      <c r="A888" s="166"/>
      <c r="B888" s="166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</row>
    <row r="889" spans="1:28" ht="25.5" customHeight="1" x14ac:dyDescent="0.4">
      <c r="A889" s="166"/>
      <c r="B889" s="166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</row>
    <row r="890" spans="1:28" ht="25.5" customHeight="1" x14ac:dyDescent="0.4">
      <c r="A890" s="166"/>
      <c r="B890" s="166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</row>
    <row r="891" spans="1:28" ht="25.5" customHeight="1" x14ac:dyDescent="0.4">
      <c r="A891" s="166"/>
      <c r="B891" s="166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</row>
    <row r="892" spans="1:28" ht="25.5" customHeight="1" x14ac:dyDescent="0.4">
      <c r="A892" s="166"/>
      <c r="B892" s="166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</row>
    <row r="893" spans="1:28" ht="25.5" customHeight="1" x14ac:dyDescent="0.4">
      <c r="A893" s="166"/>
      <c r="B893" s="166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</row>
    <row r="894" spans="1:28" ht="25.5" customHeight="1" x14ac:dyDescent="0.4">
      <c r="A894" s="166"/>
      <c r="B894" s="166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</row>
    <row r="895" spans="1:28" ht="25.5" customHeight="1" x14ac:dyDescent="0.4">
      <c r="A895" s="166"/>
      <c r="B895" s="166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</row>
    <row r="896" spans="1:28" ht="25.5" customHeight="1" x14ac:dyDescent="0.4">
      <c r="A896" s="166"/>
      <c r="B896" s="166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</row>
    <row r="897" spans="1:28" ht="25.5" customHeight="1" x14ac:dyDescent="0.4">
      <c r="A897" s="166"/>
      <c r="B897" s="166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</row>
    <row r="898" spans="1:28" ht="25.5" customHeight="1" x14ac:dyDescent="0.4">
      <c r="A898" s="166"/>
      <c r="B898" s="166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</row>
    <row r="899" spans="1:28" ht="25.5" customHeight="1" x14ac:dyDescent="0.4">
      <c r="A899" s="166"/>
      <c r="B899" s="166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</row>
    <row r="900" spans="1:28" ht="25.5" customHeight="1" x14ac:dyDescent="0.4">
      <c r="A900" s="166"/>
      <c r="B900" s="166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</row>
    <row r="901" spans="1:28" ht="25.5" customHeight="1" x14ac:dyDescent="0.4">
      <c r="A901" s="166"/>
      <c r="B901" s="166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</row>
    <row r="902" spans="1:28" ht="25.5" customHeight="1" x14ac:dyDescent="0.4">
      <c r="A902" s="166"/>
      <c r="B902" s="166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</row>
    <row r="903" spans="1:28" ht="25.5" customHeight="1" x14ac:dyDescent="0.4">
      <c r="A903" s="166"/>
      <c r="B903" s="166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</row>
    <row r="904" spans="1:28" ht="25.5" customHeight="1" x14ac:dyDescent="0.4">
      <c r="A904" s="166"/>
      <c r="B904" s="166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</row>
    <row r="905" spans="1:28" ht="25.5" customHeight="1" x14ac:dyDescent="0.4">
      <c r="A905" s="166"/>
      <c r="B905" s="166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</row>
    <row r="906" spans="1:28" ht="25.5" customHeight="1" x14ac:dyDescent="0.4">
      <c r="A906" s="166"/>
      <c r="B906" s="166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</row>
    <row r="907" spans="1:28" ht="25.5" customHeight="1" x14ac:dyDescent="0.4">
      <c r="A907" s="166"/>
      <c r="B907" s="166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</row>
    <row r="908" spans="1:28" ht="25.5" customHeight="1" x14ac:dyDescent="0.4">
      <c r="A908" s="166"/>
      <c r="B908" s="166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</row>
    <row r="909" spans="1:28" ht="25.5" customHeight="1" x14ac:dyDescent="0.4">
      <c r="A909" s="166"/>
      <c r="B909" s="166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</row>
    <row r="910" spans="1:28" ht="25.5" customHeight="1" x14ac:dyDescent="0.4">
      <c r="A910" s="166"/>
      <c r="B910" s="166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</row>
    <row r="911" spans="1:28" ht="25.5" customHeight="1" x14ac:dyDescent="0.4">
      <c r="A911" s="166"/>
      <c r="B911" s="166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</row>
    <row r="912" spans="1:28" ht="25.5" customHeight="1" x14ac:dyDescent="0.4">
      <c r="A912" s="166"/>
      <c r="B912" s="166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</row>
    <row r="913" spans="1:28" ht="25.5" customHeight="1" x14ac:dyDescent="0.4">
      <c r="A913" s="166"/>
      <c r="B913" s="166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</row>
    <row r="914" spans="1:28" ht="25.5" customHeight="1" x14ac:dyDescent="0.4">
      <c r="A914" s="166"/>
      <c r="B914" s="166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</row>
    <row r="915" spans="1:28" ht="25.5" customHeight="1" x14ac:dyDescent="0.4">
      <c r="A915" s="166"/>
      <c r="B915" s="166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</row>
    <row r="916" spans="1:28" ht="25.5" customHeight="1" x14ac:dyDescent="0.4">
      <c r="A916" s="166"/>
      <c r="B916" s="166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</row>
    <row r="917" spans="1:28" ht="25.5" customHeight="1" x14ac:dyDescent="0.4">
      <c r="A917" s="166"/>
      <c r="B917" s="166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</row>
    <row r="918" spans="1:28" ht="25.5" customHeight="1" x14ac:dyDescent="0.4">
      <c r="A918" s="166"/>
      <c r="B918" s="166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</row>
    <row r="919" spans="1:28" ht="25.5" customHeight="1" x14ac:dyDescent="0.4">
      <c r="A919" s="166"/>
      <c r="B919" s="166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</row>
    <row r="920" spans="1:28" ht="25.5" customHeight="1" x14ac:dyDescent="0.4">
      <c r="A920" s="166"/>
      <c r="B920" s="166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</row>
    <row r="921" spans="1:28" ht="25.5" customHeight="1" x14ac:dyDescent="0.4">
      <c r="A921" s="166"/>
      <c r="B921" s="166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</row>
    <row r="922" spans="1:28" ht="25.5" customHeight="1" x14ac:dyDescent="0.4">
      <c r="A922" s="166"/>
      <c r="B922" s="166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</row>
    <row r="923" spans="1:28" ht="25.5" customHeight="1" x14ac:dyDescent="0.4">
      <c r="A923" s="166"/>
      <c r="B923" s="166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</row>
    <row r="924" spans="1:28" ht="25.5" customHeight="1" x14ac:dyDescent="0.4">
      <c r="A924" s="166"/>
      <c r="B924" s="166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</row>
    <row r="925" spans="1:28" ht="25.5" customHeight="1" x14ac:dyDescent="0.4">
      <c r="A925" s="166"/>
      <c r="B925" s="166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</row>
    <row r="926" spans="1:28" ht="25.5" customHeight="1" x14ac:dyDescent="0.4">
      <c r="A926" s="166"/>
      <c r="B926" s="166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</row>
    <row r="927" spans="1:28" ht="25.5" customHeight="1" x14ac:dyDescent="0.4">
      <c r="A927" s="166"/>
      <c r="B927" s="166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</row>
    <row r="928" spans="1:28" ht="25.5" customHeight="1" x14ac:dyDescent="0.4">
      <c r="A928" s="166"/>
      <c r="B928" s="166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</row>
    <row r="929" spans="1:28" ht="25.5" customHeight="1" x14ac:dyDescent="0.4">
      <c r="A929" s="166"/>
      <c r="B929" s="166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</row>
    <row r="930" spans="1:28" ht="25.5" customHeight="1" x14ac:dyDescent="0.4">
      <c r="A930" s="166"/>
      <c r="B930" s="166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</row>
    <row r="931" spans="1:28" ht="25.5" customHeight="1" x14ac:dyDescent="0.4">
      <c r="A931" s="166"/>
      <c r="B931" s="166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</row>
    <row r="932" spans="1:28" ht="25.5" customHeight="1" x14ac:dyDescent="0.4">
      <c r="A932" s="166"/>
      <c r="B932" s="166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</row>
    <row r="933" spans="1:28" ht="25.5" customHeight="1" x14ac:dyDescent="0.4">
      <c r="A933" s="166"/>
      <c r="B933" s="166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</row>
    <row r="934" spans="1:28" ht="25.5" customHeight="1" x14ac:dyDescent="0.4">
      <c r="A934" s="166"/>
      <c r="B934" s="166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</row>
    <row r="935" spans="1:28" ht="25.5" customHeight="1" x14ac:dyDescent="0.4">
      <c r="A935" s="166"/>
      <c r="B935" s="166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</row>
    <row r="936" spans="1:28" ht="25.5" customHeight="1" x14ac:dyDescent="0.4">
      <c r="A936" s="166"/>
      <c r="B936" s="166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</row>
    <row r="937" spans="1:28" ht="25.5" customHeight="1" x14ac:dyDescent="0.4">
      <c r="A937" s="166"/>
      <c r="B937" s="166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</row>
    <row r="938" spans="1:28" ht="25.5" customHeight="1" x14ac:dyDescent="0.4">
      <c r="A938" s="166"/>
      <c r="B938" s="166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</row>
    <row r="939" spans="1:28" ht="25.5" customHeight="1" x14ac:dyDescent="0.4">
      <c r="A939" s="166"/>
      <c r="B939" s="166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</row>
    <row r="940" spans="1:28" ht="25.5" customHeight="1" x14ac:dyDescent="0.4">
      <c r="A940" s="166"/>
      <c r="B940" s="166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</row>
    <row r="941" spans="1:28" ht="25.5" customHeight="1" x14ac:dyDescent="0.4">
      <c r="A941" s="166"/>
      <c r="B941" s="166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</row>
    <row r="942" spans="1:28" ht="25.5" customHeight="1" x14ac:dyDescent="0.4">
      <c r="A942" s="166"/>
      <c r="B942" s="166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</row>
    <row r="943" spans="1:28" ht="25.5" customHeight="1" x14ac:dyDescent="0.4">
      <c r="A943" s="166"/>
      <c r="B943" s="166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</row>
    <row r="944" spans="1:28" ht="25.5" customHeight="1" x14ac:dyDescent="0.4">
      <c r="A944" s="166"/>
      <c r="B944" s="166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</row>
    <row r="945" spans="1:28" ht="25.5" customHeight="1" x14ac:dyDescent="0.4">
      <c r="A945" s="166"/>
      <c r="B945" s="166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</row>
    <row r="946" spans="1:28" ht="25.5" customHeight="1" x14ac:dyDescent="0.4">
      <c r="A946" s="166"/>
      <c r="B946" s="166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</row>
    <row r="947" spans="1:28" ht="25.5" customHeight="1" x14ac:dyDescent="0.4">
      <c r="A947" s="166"/>
      <c r="B947" s="166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</row>
    <row r="948" spans="1:28" ht="25.5" customHeight="1" x14ac:dyDescent="0.4">
      <c r="A948" s="166"/>
      <c r="B948" s="166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</row>
    <row r="949" spans="1:28" ht="25.5" customHeight="1" x14ac:dyDescent="0.4">
      <c r="A949" s="166"/>
      <c r="B949" s="166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</row>
    <row r="950" spans="1:28" ht="25.5" customHeight="1" x14ac:dyDescent="0.4">
      <c r="A950" s="166"/>
      <c r="B950" s="166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</row>
    <row r="951" spans="1:28" ht="25.5" customHeight="1" x14ac:dyDescent="0.4">
      <c r="A951" s="166"/>
      <c r="B951" s="166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</row>
    <row r="952" spans="1:28" ht="25.5" customHeight="1" x14ac:dyDescent="0.4">
      <c r="A952" s="166"/>
      <c r="B952" s="166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</row>
    <row r="953" spans="1:28" ht="25.5" customHeight="1" x14ac:dyDescent="0.4">
      <c r="A953" s="166"/>
      <c r="B953" s="166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</row>
    <row r="954" spans="1:28" ht="25.5" customHeight="1" x14ac:dyDescent="0.4">
      <c r="A954" s="166"/>
      <c r="B954" s="166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</row>
    <row r="955" spans="1:28" ht="25.5" customHeight="1" x14ac:dyDescent="0.4">
      <c r="A955" s="166"/>
      <c r="B955" s="166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</row>
    <row r="956" spans="1:28" ht="25.5" customHeight="1" x14ac:dyDescent="0.4">
      <c r="A956" s="166"/>
      <c r="B956" s="166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</row>
    <row r="957" spans="1:28" ht="25.5" customHeight="1" x14ac:dyDescent="0.4">
      <c r="A957" s="166"/>
      <c r="B957" s="166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</row>
    <row r="958" spans="1:28" ht="25.5" customHeight="1" x14ac:dyDescent="0.4">
      <c r="A958" s="166"/>
      <c r="B958" s="166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</row>
    <row r="959" spans="1:28" ht="25.5" customHeight="1" x14ac:dyDescent="0.4">
      <c r="A959" s="166"/>
      <c r="B959" s="166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15</vt:i4>
      </vt:variant>
    </vt:vector>
  </HeadingPairs>
  <TitlesOfParts>
    <vt:vector size="15" baseType="lpstr">
      <vt:lpstr>NEST DATA </vt:lpstr>
      <vt:lpstr>FALSE CRAWL DATA</vt:lpstr>
      <vt:lpstr>INVESTIGATION DATA</vt:lpstr>
      <vt:lpstr>ΚΑΤΑΝΟΜΗ ΦΩΛΙΩΝ- REGIONAL NEST</vt:lpstr>
      <vt:lpstr>ΕΠΩΑΣΘΕΝΤΑ-ΙNCUBATED </vt:lpstr>
      <vt:lpstr>ΕΚΚΟΛΑΨΗΣ-HATCHING</vt:lpstr>
      <vt:lpstr>ΜΗ ΕΚΚΟΛΑΦΘΕΝΤΑ-UNHATCHED</vt:lpstr>
      <vt:lpstr>ΝΕΚΡΑ ΣΤΗ ΦΩΛΙΑ -DEAD IN NEST</vt:lpstr>
      <vt:lpstr> ΑΥΓΑ ΑΝΑ ΦΩΛΙΑ-EGGS PER NESTS</vt:lpstr>
      <vt:lpstr>ΑΝΑΔΥΘΕΝΤΑ-EMERGENCED</vt:lpstr>
      <vt:lpstr>ΠΕΡΙΕΧΟΜ ΦΩΛΙΑΣ-NEST CONTENT  </vt:lpstr>
      <vt:lpstr>RELOCATED N</vt:lpstr>
      <vt:lpstr>FALSE CRAWLS PEAKS </vt:lpstr>
      <vt:lpstr>NEST &amp;FALSE-C EVENT </vt:lpstr>
      <vt:lpstr>ΧΩΡΙΚΗ ΚΑΤΑΝΟΜΗ DISTRIBUTION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user</cp:lastModifiedBy>
  <dcterms:created xsi:type="dcterms:W3CDTF">2013-05-30T07:18:27Z</dcterms:created>
  <dcterms:modified xsi:type="dcterms:W3CDTF">2022-08-21T05:23:02Z</dcterms:modified>
</cp:coreProperties>
</file>